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8820" activeTab="0"/>
  </bookViews>
  <sheets>
    <sheet name="Приложение (2)" sheetId="1" r:id="rId1"/>
  </sheets>
  <definedNames>
    <definedName name="_xlnm.Print_Titles" localSheetId="0">'Приложение (2)'!$5:$6</definedName>
    <definedName name="_xlnm.Print_Area" localSheetId="0">'Приложение (2)'!$A$1:$R$122</definedName>
  </definedNames>
  <calcPr fullCalcOnLoad="1"/>
</workbook>
</file>

<file path=xl/sharedStrings.xml><?xml version="1.0" encoding="utf-8"?>
<sst xmlns="http://schemas.openxmlformats.org/spreadsheetml/2006/main" count="195" uniqueCount="89">
  <si>
    <t>№ п/п</t>
  </si>
  <si>
    <t>Финансирование</t>
  </si>
  <si>
    <t>Прочие источники финансирования</t>
  </si>
  <si>
    <t>Федеральный бюджет</t>
  </si>
  <si>
    <t>Областной бюджет</t>
  </si>
  <si>
    <t>Реконструкция берегозащитных сооружений улицы Правая Набережная в г. Калининграде (2-я очередь)</t>
  </si>
  <si>
    <t>Строительство газовой котельной на территории БСМП по ул. Невского в г.Калининграде</t>
  </si>
  <si>
    <t>Строительство КНС и коллекторов в Восточном жилом районе г.Калининграда, Калининградская область</t>
  </si>
  <si>
    <t>Реконструкция очистных сооружений п. Прибрежный, Калининградская область</t>
  </si>
  <si>
    <t>Строительство очистных сооружений, г. Калининград</t>
  </si>
  <si>
    <t>Cтроительство первой очереди объединенных очистных сооружений с канализационными объектами и сетями г. Калининград</t>
  </si>
  <si>
    <t>Строительство трансформаторной подстанции и реконструкция уличных сетей в пос. Октябрьский (2  этап)</t>
  </si>
  <si>
    <t>Строительство водовода по ул.Велосипедной г. Калининград</t>
  </si>
  <si>
    <t>Реконструкция ул. Карташева, в том числе устройство сетей хозяйственно-бытовой канализации</t>
  </si>
  <si>
    <t>Реконструкция гидротехнических сооружений и рекреационной зоны озера Поплавок в г. Калининграде</t>
  </si>
  <si>
    <t>РП Реконструкция гидротехнических сооружений и рекреационной зоны озера Поплавок в г. Калининграде</t>
  </si>
  <si>
    <t>Строительство 2-х резервуаров чистой воды и реконструкция ВНС "Горьковская" в г.Калининграде</t>
  </si>
  <si>
    <t>Строительство канализационного напорного коллектора для комплексной застройки Юго-Восточного жилого района г.Калининград</t>
  </si>
  <si>
    <t>Строительство канализационных очистных сооружений производительностью 85 тыс. м3/сут. в пос. Цветково Гурьевского района, Калининградская область</t>
  </si>
  <si>
    <t>1.20.</t>
  </si>
  <si>
    <t>1.21.</t>
  </si>
  <si>
    <t>1.22.</t>
  </si>
  <si>
    <t>Строительство водовода по ул. Сусанина - Б.Окружная - МНС - 2, г. Калининград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</si>
  <si>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</si>
  <si>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</si>
  <si>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</si>
  <si>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</si>
  <si>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</si>
  <si>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</si>
  <si>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</si>
  <si>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</si>
  <si>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</si>
  <si>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</si>
  <si>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</si>
  <si>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</si>
  <si>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</si>
  <si>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</si>
  <si>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</si>
  <si>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</si>
  <si>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</si>
  <si>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</si>
  <si>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</si>
  <si>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</si>
  <si>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</si>
  <si>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</si>
  <si>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</si>
  <si>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</si>
  <si>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</si>
  <si>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</si>
  <si>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</si>
  <si>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</si>
  <si>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Строительство сетей ливневой канализации по ул. Карташова в пос. А.Космодемьянского, г.Калининград</t>
  </si>
  <si>
    <t>Реконструкция гидротехнических сооружений и зоны отдыха вокруг озера Верхнее в городе Калининграде</t>
  </si>
  <si>
    <t>Реконструкция КНС-8 по ул. Тихорецкой (2-й этап - санация напорных канализационных трубопроводов) в г.Калининграде</t>
  </si>
  <si>
    <t>Всего</t>
  </si>
  <si>
    <t>2009 год</t>
  </si>
  <si>
    <t>2010 год</t>
  </si>
  <si>
    <t>2011 год</t>
  </si>
  <si>
    <t>Реконструкция РТС "Северная" по ул. Сибирякова в г.Калининград (I очередь)</t>
  </si>
  <si>
    <t>Федеральный бюджет (остатки 2008г.)</t>
  </si>
  <si>
    <t>Областной бюджет (остатки 2008г.)</t>
  </si>
  <si>
    <t>Инженерные сети к специализированному волейбольному спортивному комплексу в г.Калининграде</t>
  </si>
  <si>
    <t>Всего,                 тыс. руб.</t>
  </si>
  <si>
    <t>Тепловая сеть к волейбольному спортивному комплексу по ул. Согласия в г. Калининграде</t>
  </si>
  <si>
    <t>Бюджет ГО</t>
  </si>
  <si>
    <t>Всего по объектам целевой программы, в том числе по бюджетам</t>
  </si>
  <si>
    <t>Прочие инвестиции</t>
  </si>
  <si>
    <t xml:space="preserve">Бюджет ГО        </t>
  </si>
  <si>
    <t>Наименование мероприятий</t>
  </si>
  <si>
    <t>2012 год</t>
  </si>
  <si>
    <t>Строительство водовода по ул.Сусанина-Б.Окружная- МНС-2, г. Калининград</t>
  </si>
  <si>
    <t xml:space="preserve">Подключение к теплоцентрали ДЮЦ на ул.Комсомольской </t>
  </si>
  <si>
    <t>Проектирование и строительство газовой котельной</t>
  </si>
  <si>
    <t>Строительствонаружных инженерных сетей по ул.Октябрьская площадь, 20б, г. Калининград</t>
  </si>
  <si>
    <t>Котельная "Дома сестринскогоухода" по ул. В.Дубинина, 24 в г. Калининграде с реконструкцией отопительной системы здания</t>
  </si>
  <si>
    <t xml:space="preserve"> Система мероприятий долгосрочной целевой программы  "Развитие коммунальной инфраструктуры городского округа "Город Калининград" на 2009-2014 годы"</t>
  </si>
  <si>
    <t>2013 год</t>
  </si>
  <si>
    <t>2014 год</t>
  </si>
  <si>
    <t xml:space="preserve">Реконструкция берегоукрепительных сооружений Набережная адмирала Трибуца, г.Калининград» </t>
  </si>
  <si>
    <t xml:space="preserve">РП "Реконструкция берегоукрепительных сооружений Набережная адмирала Трибуца, г.Калининград» </t>
  </si>
  <si>
    <t xml:space="preserve">Федеральный бюджет </t>
  </si>
  <si>
    <t>Реконструкция водовода по ул.Баранова, ул. Коперника, Ленинскому проспекту г. Калининграда</t>
  </si>
  <si>
    <t>Модернизация Московской насосной станции в г. Калининграде</t>
  </si>
  <si>
    <t>Строительство водовода от МНС до ул. А.Невского в г. Калининграде</t>
  </si>
  <si>
    <t>29.</t>
  </si>
  <si>
    <t>30.</t>
  </si>
  <si>
    <t>Строительство очистных сооружений дождевой канализации для комплексной застройки Юго-Восточного жилого района г. Калининграда</t>
  </si>
  <si>
    <t>Строительство котельной на территории МОУ ДОД "Детская музыкальная школа им. Р.М. Глиэра" по ул.Огарева, 22 в г. Калининграде</t>
  </si>
  <si>
    <t>Строительство наружных инженерных сетей по ул.Октябрьская площадь, 27 Б, г.Калининград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</si>
</sst>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"/>
    <numFmt numFmtId="171" formatCode="0.0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_р_._-;_-@_-"/>
    <numFmt numFmtId="175" formatCode="_-* #,##0.0000_р_._-;\-* #,##0.0000_р_._-;_-* &quot;-&quot;_р_._-;_-@_-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_р_._-;_-@_-"/>
    <numFmt numFmtId="179" formatCode="_-* #,##0.000_р_._-;\-* #,##0.000_р_._-;_-* &quot;-&quot;???_р_._-;_-@_-"/>
    <numFmt numFmtId="180" formatCode="#,##0.00_р_."/>
    <numFmt numFmtId="181" formatCode="#,##0.0_ ;\-#,##0.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0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justify" vertical="center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170" fontId="8" fillId="0" borderId="0" xfId="0" applyNumberFormat="1" applyFont="1" applyBorder="1" applyAlignment="1">
      <alignment horizontal="justify" vertical="justify" wrapText="1"/>
    </xf>
    <xf numFmtId="0" fontId="7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70" fontId="8" fillId="0" borderId="13" xfId="0" applyNumberFormat="1" applyFont="1" applyBorder="1" applyAlignment="1">
      <alignment horizontal="justify" vertical="center" wrapText="1"/>
    </xf>
    <xf numFmtId="170" fontId="8" fillId="0" borderId="13" xfId="0" applyNumberFormat="1" applyFont="1" applyBorder="1" applyAlignment="1">
      <alignment horizontal="justify" vertical="justify" wrapText="1"/>
    </xf>
    <xf numFmtId="170" fontId="8" fillId="0" borderId="14" xfId="0" applyNumberFormat="1" applyFont="1" applyBorder="1" applyAlignment="1">
      <alignment horizontal="justify" vertical="justify" wrapText="1"/>
    </xf>
    <xf numFmtId="170" fontId="8" fillId="0" borderId="14" xfId="0" applyNumberFormat="1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horizontal="justify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6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7" fillId="0" borderId="34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justify" vertical="center"/>
    </xf>
    <xf numFmtId="0" fontId="8" fillId="0" borderId="31" xfId="0" applyFont="1" applyBorder="1" applyAlignment="1">
      <alignment horizontal="justify" vertical="center"/>
    </xf>
    <xf numFmtId="0" fontId="8" fillId="0" borderId="26" xfId="0" applyFont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justify" vertical="center" wrapText="1"/>
    </xf>
    <xf numFmtId="0" fontId="8" fillId="0" borderId="4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43" xfId="0" applyFont="1" applyFill="1" applyBorder="1" applyAlignment="1">
      <alignment horizontal="justify" vertical="center" wrapText="1"/>
    </xf>
    <xf numFmtId="170" fontId="7" fillId="0" borderId="3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/>
    </xf>
    <xf numFmtId="0" fontId="8" fillId="0" borderId="16" xfId="0" applyFont="1" applyBorder="1" applyAlignment="1">
      <alignment/>
    </xf>
    <xf numFmtId="16" fontId="8" fillId="0" borderId="32" xfId="0" applyNumberFormat="1" applyFont="1" applyFill="1" applyBorder="1" applyAlignment="1">
      <alignment horizontal="center" vertical="center" wrapText="1"/>
    </xf>
    <xf numFmtId="16" fontId="8" fillId="0" borderId="44" xfId="0" applyNumberFormat="1" applyFont="1" applyFill="1" applyBorder="1" applyAlignment="1">
      <alignment horizontal="center" vertical="center" wrapText="1"/>
    </xf>
    <xf numFmtId="16" fontId="8" fillId="0" borderId="3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12" fillId="0" borderId="36" xfId="0" applyFont="1" applyFill="1" applyBorder="1" applyAlignment="1">
      <alignment horizontal="justify" vertical="center" wrapText="1"/>
    </xf>
    <xf numFmtId="0" fontId="12" fillId="0" borderId="41" xfId="0" applyFont="1" applyFill="1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0" fontId="9" fillId="0" borderId="4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36" xfId="0" applyFont="1" applyFill="1" applyBorder="1" applyAlignment="1">
      <alignment horizontal="justify" vertical="center"/>
    </xf>
    <xf numFmtId="0" fontId="8" fillId="0" borderId="41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17" fontId="8" fillId="0" borderId="18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X181"/>
  <sheetViews>
    <sheetView tabSelected="1" view="pageBreakPreview" zoomScale="75" zoomScaleNormal="40" zoomScaleSheetLayoutView="75" zoomScalePageLayoutView="0" workbookViewId="0" topLeftCell="E1">
      <pane ySplit="6" topLeftCell="BM7" activePane="bottomLeft" state="frozen"/>
      <selection pane="topLeft" activeCell="A1" sqref="A1"/>
      <selection pane="bottomLeft" activeCell="I8" sqref="I8"/>
    </sheetView>
  </sheetViews>
  <sheetFormatPr defaultColWidth="8.875" defaultRowHeight="12.75"/>
  <cols>
    <col min="1" max="4" width="0" style="1" hidden="1" customWidth="1"/>
    <col min="5" max="5" width="6.875" style="3" customWidth="1"/>
    <col min="6" max="6" width="28.00390625" style="1" customWidth="1"/>
    <col min="7" max="7" width="19.875" style="1" customWidth="1"/>
    <col min="8" max="8" width="15.25390625" style="1" customWidth="1"/>
    <col min="9" max="9" width="13.75390625" style="1" customWidth="1"/>
    <col min="10" max="10" width="13.375" style="1" customWidth="1"/>
    <col min="11" max="11" width="13.75390625" style="1" customWidth="1"/>
    <col min="12" max="13" width="14.625" style="1" customWidth="1"/>
    <col min="14" max="14" width="15.00390625" style="1" customWidth="1"/>
    <col min="15" max="16384" width="8.875" style="1" customWidth="1"/>
  </cols>
  <sheetData>
    <row r="2" spans="12:14" ht="110.25" customHeight="1">
      <c r="L2" s="10"/>
      <c r="M2" s="134"/>
      <c r="N2" s="135"/>
    </row>
    <row r="3" spans="5:14" s="12" customFormat="1" ht="42" customHeight="1">
      <c r="E3" s="141" t="s">
        <v>75</v>
      </c>
      <c r="F3" s="141"/>
      <c r="G3" s="141"/>
      <c r="H3" s="141"/>
      <c r="I3" s="141"/>
      <c r="J3" s="141"/>
      <c r="K3" s="141"/>
      <c r="L3" s="141"/>
      <c r="M3" s="142"/>
      <c r="N3" s="142"/>
    </row>
    <row r="4" spans="5:12" s="12" customFormat="1" ht="17.25" customHeight="1" thickBot="1">
      <c r="E4" s="28"/>
      <c r="F4" s="6"/>
      <c r="G4" s="6"/>
      <c r="H4" s="6"/>
      <c r="I4" s="6"/>
      <c r="J4" s="6"/>
      <c r="K4" s="6"/>
      <c r="L4" s="6"/>
    </row>
    <row r="5" spans="5:14" ht="17.25" customHeight="1">
      <c r="E5" s="84" t="s">
        <v>0</v>
      </c>
      <c r="F5" s="80" t="s">
        <v>68</v>
      </c>
      <c r="G5" s="81"/>
      <c r="H5" s="137" t="s">
        <v>1</v>
      </c>
      <c r="I5" s="138"/>
      <c r="J5" s="138"/>
      <c r="K5" s="138"/>
      <c r="L5" s="138"/>
      <c r="M5" s="139"/>
      <c r="N5" s="140"/>
    </row>
    <row r="6" spans="5:14" ht="34.5" customHeight="1" thickBot="1">
      <c r="E6" s="85"/>
      <c r="F6" s="82"/>
      <c r="G6" s="83"/>
      <c r="H6" s="13" t="s">
        <v>62</v>
      </c>
      <c r="I6" s="13" t="s">
        <v>55</v>
      </c>
      <c r="J6" s="13" t="s">
        <v>56</v>
      </c>
      <c r="K6" s="13" t="s">
        <v>57</v>
      </c>
      <c r="L6" s="25" t="s">
        <v>69</v>
      </c>
      <c r="M6" s="26" t="s">
        <v>76</v>
      </c>
      <c r="N6" s="27" t="s">
        <v>77</v>
      </c>
    </row>
    <row r="7" spans="5:14" ht="21.75" customHeight="1">
      <c r="E7" s="105" t="s">
        <v>23</v>
      </c>
      <c r="F7" s="98" t="s">
        <v>5</v>
      </c>
      <c r="G7" s="17" t="s">
        <v>54</v>
      </c>
      <c r="H7" s="32">
        <f>H10+H9+H8</f>
        <v>193085.4</v>
      </c>
      <c r="I7" s="32">
        <f>I10+I9+I8</f>
        <v>56893.4</v>
      </c>
      <c r="J7" s="32">
        <f>J10+J9+J8</f>
        <v>136192</v>
      </c>
      <c r="K7" s="32"/>
      <c r="L7" s="33"/>
      <c r="M7" s="34"/>
      <c r="N7" s="34"/>
    </row>
    <row r="8" spans="5:14" ht="36" customHeight="1">
      <c r="E8" s="100"/>
      <c r="F8" s="79"/>
      <c r="G8" s="18" t="s">
        <v>3</v>
      </c>
      <c r="H8" s="35">
        <f>I8+J8</f>
        <v>149039</v>
      </c>
      <c r="I8" s="36">
        <v>47000</v>
      </c>
      <c r="J8" s="36">
        <v>102039</v>
      </c>
      <c r="K8" s="35"/>
      <c r="L8" s="37"/>
      <c r="M8" s="38"/>
      <c r="N8" s="38"/>
    </row>
    <row r="9" spans="5:14" ht="36" customHeight="1">
      <c r="E9" s="100"/>
      <c r="F9" s="79"/>
      <c r="G9" s="18" t="s">
        <v>4</v>
      </c>
      <c r="H9" s="35">
        <f>I9+J9</f>
        <v>8804.6</v>
      </c>
      <c r="I9" s="36">
        <f>9870*0.2</f>
        <v>1974</v>
      </c>
      <c r="J9" s="36">
        <v>6830.6</v>
      </c>
      <c r="K9" s="35"/>
      <c r="L9" s="37"/>
      <c r="M9" s="38"/>
      <c r="N9" s="38"/>
    </row>
    <row r="10" spans="5:14" ht="57" customHeight="1" thickBot="1">
      <c r="E10" s="101"/>
      <c r="F10" s="77"/>
      <c r="G10" s="18" t="s">
        <v>64</v>
      </c>
      <c r="H10" s="35">
        <f>I10+J10</f>
        <v>35241.8</v>
      </c>
      <c r="I10" s="36">
        <v>7919.4</v>
      </c>
      <c r="J10" s="36">
        <f>34153-J9</f>
        <v>27322.4</v>
      </c>
      <c r="K10" s="35"/>
      <c r="L10" s="37"/>
      <c r="M10" s="38"/>
      <c r="N10" s="38"/>
    </row>
    <row r="11" spans="5:14" s="3" customFormat="1" ht="21" customHeight="1">
      <c r="E11" s="105" t="s">
        <v>24</v>
      </c>
      <c r="F11" s="98" t="s">
        <v>58</v>
      </c>
      <c r="G11" s="19" t="s">
        <v>54</v>
      </c>
      <c r="H11" s="39">
        <f>H12+H13+H14</f>
        <v>121056</v>
      </c>
      <c r="I11" s="39">
        <f>I12+I13+I14</f>
        <v>25362</v>
      </c>
      <c r="J11" s="39">
        <f>J12+J13+J14</f>
        <v>95694</v>
      </c>
      <c r="K11" s="39"/>
      <c r="L11" s="40"/>
      <c r="M11" s="41"/>
      <c r="N11" s="41"/>
    </row>
    <row r="12" spans="5:14" s="3" customFormat="1" ht="36" customHeight="1">
      <c r="E12" s="100"/>
      <c r="F12" s="79"/>
      <c r="G12" s="18" t="s">
        <v>3</v>
      </c>
      <c r="H12" s="35">
        <f>I12+J12</f>
        <v>106054</v>
      </c>
      <c r="I12" s="42">
        <v>20960</v>
      </c>
      <c r="J12" s="42">
        <v>85094</v>
      </c>
      <c r="K12" s="42"/>
      <c r="L12" s="43"/>
      <c r="M12" s="41"/>
      <c r="N12" s="41"/>
    </row>
    <row r="13" spans="5:14" s="3" customFormat="1" ht="36.75" customHeight="1">
      <c r="E13" s="100"/>
      <c r="F13" s="79"/>
      <c r="G13" s="18" t="s">
        <v>4</v>
      </c>
      <c r="H13" s="35">
        <f>I13+J13</f>
        <v>3000</v>
      </c>
      <c r="I13" s="42">
        <v>880</v>
      </c>
      <c r="J13" s="42">
        <f>10600*0.2</f>
        <v>2120</v>
      </c>
      <c r="K13" s="42"/>
      <c r="L13" s="43"/>
      <c r="M13" s="41"/>
      <c r="N13" s="41"/>
    </row>
    <row r="14" spans="5:14" s="3" customFormat="1" ht="33.75" customHeight="1" thickBot="1">
      <c r="E14" s="101"/>
      <c r="F14" s="77"/>
      <c r="G14" s="18" t="s">
        <v>64</v>
      </c>
      <c r="H14" s="35">
        <f>I14+J14</f>
        <v>12002</v>
      </c>
      <c r="I14" s="42">
        <v>3522</v>
      </c>
      <c r="J14" s="42">
        <f>10600-J13</f>
        <v>8480</v>
      </c>
      <c r="K14" s="42"/>
      <c r="L14" s="43"/>
      <c r="M14" s="41"/>
      <c r="N14" s="41"/>
    </row>
    <row r="15" spans="5:50" s="8" customFormat="1" ht="22.5" customHeight="1">
      <c r="E15" s="105" t="s">
        <v>25</v>
      </c>
      <c r="F15" s="107" t="s">
        <v>86</v>
      </c>
      <c r="G15" s="19" t="s">
        <v>54</v>
      </c>
      <c r="H15" s="39">
        <f>H16+H17+H18</f>
        <v>277320</v>
      </c>
      <c r="I15" s="39"/>
      <c r="J15" s="39">
        <f>J16+J17+J18</f>
        <v>138000</v>
      </c>
      <c r="K15" s="39">
        <f>K16+K17+K18</f>
        <v>139320</v>
      </c>
      <c r="L15" s="40"/>
      <c r="M15" s="41"/>
      <c r="N15" s="4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5:50" s="8" customFormat="1" ht="34.5" customHeight="1">
      <c r="E16" s="100"/>
      <c r="F16" s="103"/>
      <c r="G16" s="18" t="s">
        <v>3</v>
      </c>
      <c r="H16" s="35">
        <f>SUM(I16:K16)</f>
        <v>240000</v>
      </c>
      <c r="I16" s="42"/>
      <c r="J16" s="42">
        <v>120000</v>
      </c>
      <c r="K16" s="42">
        <v>120000</v>
      </c>
      <c r="L16" s="43"/>
      <c r="M16" s="41"/>
      <c r="N16" s="4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5:50" s="8" customFormat="1" ht="36.75" customHeight="1">
      <c r="E17" s="100"/>
      <c r="F17" s="103"/>
      <c r="G17" s="18" t="s">
        <v>4</v>
      </c>
      <c r="H17" s="35">
        <f>SUM(I17:K17)</f>
        <v>7464</v>
      </c>
      <c r="I17" s="42"/>
      <c r="J17" s="42">
        <f>18000*0.2</f>
        <v>3600</v>
      </c>
      <c r="K17" s="42">
        <f>19320*0.2</f>
        <v>3864</v>
      </c>
      <c r="L17" s="43"/>
      <c r="M17" s="41"/>
      <c r="N17" s="4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5:50" s="8" customFormat="1" ht="40.5" customHeight="1" thickBot="1">
      <c r="E18" s="101"/>
      <c r="F18" s="104"/>
      <c r="G18" s="18" t="s">
        <v>64</v>
      </c>
      <c r="H18" s="35">
        <f>SUM(I18:K18)</f>
        <v>29856</v>
      </c>
      <c r="I18" s="42"/>
      <c r="J18" s="42">
        <f>18000-J17</f>
        <v>14400</v>
      </c>
      <c r="K18" s="42">
        <f>19320-K17</f>
        <v>15456</v>
      </c>
      <c r="L18" s="43"/>
      <c r="M18" s="41"/>
      <c r="N18" s="4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5:50" s="8" customFormat="1" ht="21.75" customHeight="1">
      <c r="E19" s="105" t="s">
        <v>26</v>
      </c>
      <c r="F19" s="107" t="s">
        <v>17</v>
      </c>
      <c r="G19" s="19" t="s">
        <v>54</v>
      </c>
      <c r="H19" s="39">
        <f>SUM(H20:H22)</f>
        <v>463937</v>
      </c>
      <c r="I19" s="39"/>
      <c r="J19" s="39">
        <f>SUM(J20:J22)</f>
        <v>232000</v>
      </c>
      <c r="K19" s="39">
        <f>SUM(K20:K22)</f>
        <v>174150</v>
      </c>
      <c r="L19" s="40">
        <f>SUM(L20:L22)</f>
        <v>57787</v>
      </c>
      <c r="M19" s="41"/>
      <c r="N19" s="4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5:50" s="8" customFormat="1" ht="38.25" customHeight="1">
      <c r="E20" s="100"/>
      <c r="F20" s="103"/>
      <c r="G20" s="18" t="s">
        <v>3</v>
      </c>
      <c r="H20" s="35">
        <f>SUM(I20:L20)</f>
        <v>400000</v>
      </c>
      <c r="I20" s="42"/>
      <c r="J20" s="42">
        <v>200000</v>
      </c>
      <c r="K20" s="42">
        <v>150000</v>
      </c>
      <c r="L20" s="43">
        <v>50000</v>
      </c>
      <c r="M20" s="41"/>
      <c r="N20" s="4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5:50" s="8" customFormat="1" ht="36" customHeight="1">
      <c r="E21" s="100"/>
      <c r="F21" s="103"/>
      <c r="G21" s="18" t="s">
        <v>4</v>
      </c>
      <c r="H21" s="35">
        <f>SUM(I21:L21)</f>
        <v>12787.4</v>
      </c>
      <c r="I21" s="42"/>
      <c r="J21" s="42">
        <f>32000*0.2</f>
        <v>6400</v>
      </c>
      <c r="K21" s="42">
        <f>24150*0.2</f>
        <v>4830</v>
      </c>
      <c r="L21" s="43">
        <v>1557.4</v>
      </c>
      <c r="M21" s="41"/>
      <c r="N21" s="4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5:50" s="8" customFormat="1" ht="45" customHeight="1" thickBot="1">
      <c r="E22" s="106"/>
      <c r="F22" s="108"/>
      <c r="G22" s="24" t="s">
        <v>64</v>
      </c>
      <c r="H22" s="35">
        <f>SUM(I22:L22)</f>
        <v>51149.6</v>
      </c>
      <c r="I22" s="44"/>
      <c r="J22" s="44">
        <f>32000-J21</f>
        <v>25600</v>
      </c>
      <c r="K22" s="44">
        <f>24150-K21</f>
        <v>19320</v>
      </c>
      <c r="L22" s="45">
        <f>7787-L21</f>
        <v>6229.6</v>
      </c>
      <c r="M22" s="41"/>
      <c r="N22" s="4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5:50" s="8" customFormat="1" ht="24" customHeight="1">
      <c r="E23" s="105" t="s">
        <v>27</v>
      </c>
      <c r="F23" s="107" t="s">
        <v>18</v>
      </c>
      <c r="G23" s="19" t="s">
        <v>54</v>
      </c>
      <c r="H23" s="39">
        <f>SUM(H24:H26)</f>
        <v>1074814</v>
      </c>
      <c r="I23" s="39"/>
      <c r="J23" s="39">
        <f>SUM(J24:J26)</f>
        <v>535508</v>
      </c>
      <c r="K23" s="39">
        <f>SUM(K24:K26)</f>
        <v>472527</v>
      </c>
      <c r="L23" s="40">
        <f>SUM(L24:L26)</f>
        <v>66779</v>
      </c>
      <c r="M23" s="41"/>
      <c r="N23" s="4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5:50" s="8" customFormat="1" ht="42.75" customHeight="1">
      <c r="E24" s="100"/>
      <c r="F24" s="103"/>
      <c r="G24" s="20" t="s">
        <v>3</v>
      </c>
      <c r="H24" s="35">
        <f>SUM(I24:L24)</f>
        <v>949160</v>
      </c>
      <c r="I24" s="42"/>
      <c r="J24" s="42">
        <v>484380</v>
      </c>
      <c r="K24" s="42">
        <v>407000</v>
      </c>
      <c r="L24" s="43">
        <v>57780</v>
      </c>
      <c r="M24" s="41"/>
      <c r="N24" s="4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5:50" s="8" customFormat="1" ht="39" customHeight="1">
      <c r="E25" s="100"/>
      <c r="F25" s="103"/>
      <c r="G25" s="20" t="s">
        <v>4</v>
      </c>
      <c r="H25" s="35">
        <f>SUM(I25:L25)</f>
        <v>25130.8</v>
      </c>
      <c r="I25" s="35"/>
      <c r="J25" s="35">
        <f>51128*0.2</f>
        <v>10225.6</v>
      </c>
      <c r="K25" s="35">
        <f>65527*0.2</f>
        <v>13105.400000000001</v>
      </c>
      <c r="L25" s="37">
        <f>8999*0.2</f>
        <v>1799.8000000000002</v>
      </c>
      <c r="M25" s="41"/>
      <c r="N25" s="4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5:50" s="8" customFormat="1" ht="88.5" customHeight="1" thickBot="1">
      <c r="E26" s="101"/>
      <c r="F26" s="104"/>
      <c r="G26" s="20" t="s">
        <v>64</v>
      </c>
      <c r="H26" s="35">
        <f>SUM(I26:L26)</f>
        <v>100523.2</v>
      </c>
      <c r="I26" s="35"/>
      <c r="J26" s="35">
        <f>51128-J25</f>
        <v>40902.4</v>
      </c>
      <c r="K26" s="35">
        <f>65527-K25</f>
        <v>52421.6</v>
      </c>
      <c r="L26" s="37">
        <f>8999-L25</f>
        <v>7199.2</v>
      </c>
      <c r="M26" s="41"/>
      <c r="N26" s="4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5:37" ht="19.5" customHeight="1">
      <c r="E27" s="105" t="s">
        <v>28</v>
      </c>
      <c r="F27" s="98" t="s">
        <v>12</v>
      </c>
      <c r="G27" s="17" t="s">
        <v>54</v>
      </c>
      <c r="H27" s="32">
        <f>SUM(H28:H30)</f>
        <v>58000</v>
      </c>
      <c r="I27" s="32"/>
      <c r="J27" s="32"/>
      <c r="K27" s="32"/>
      <c r="L27" s="33"/>
      <c r="M27" s="41"/>
      <c r="N27" s="46">
        <f>SUM(N28:N30)</f>
        <v>58000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5:37" ht="37.5" customHeight="1">
      <c r="E28" s="100"/>
      <c r="F28" s="79"/>
      <c r="G28" s="20" t="s">
        <v>3</v>
      </c>
      <c r="H28" s="35">
        <f>SUM(I28:N28)</f>
        <v>30000</v>
      </c>
      <c r="I28" s="35"/>
      <c r="J28" s="35"/>
      <c r="K28" s="35"/>
      <c r="L28" s="37"/>
      <c r="M28" s="41"/>
      <c r="N28" s="42">
        <v>30000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5:37" ht="37.5" customHeight="1">
      <c r="E29" s="100"/>
      <c r="F29" s="79"/>
      <c r="G29" s="20" t="s">
        <v>4</v>
      </c>
      <c r="H29" s="35">
        <f>SUM(I29:N29)</f>
        <v>5600</v>
      </c>
      <c r="I29" s="35"/>
      <c r="J29" s="35"/>
      <c r="K29" s="35"/>
      <c r="L29" s="37"/>
      <c r="M29" s="41"/>
      <c r="N29" s="42">
        <f>28000*0.2</f>
        <v>5600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5:37" ht="31.5" customHeight="1" thickBot="1">
      <c r="E30" s="101"/>
      <c r="F30" s="77"/>
      <c r="G30" s="20" t="s">
        <v>64</v>
      </c>
      <c r="H30" s="35">
        <f>SUM(I30:N30)</f>
        <v>22400</v>
      </c>
      <c r="I30" s="35"/>
      <c r="J30" s="35"/>
      <c r="K30" s="35"/>
      <c r="L30" s="37"/>
      <c r="M30" s="41"/>
      <c r="N30" s="42">
        <f>28000-N29</f>
        <v>22400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5:37" ht="22.5" customHeight="1">
      <c r="E31" s="105" t="s">
        <v>29</v>
      </c>
      <c r="F31" s="107" t="s">
        <v>10</v>
      </c>
      <c r="G31" s="19" t="s">
        <v>54</v>
      </c>
      <c r="H31" s="39">
        <f>SUM(H32:H35)</f>
        <v>2459269.8</v>
      </c>
      <c r="I31" s="39">
        <f>SUM(I32:I35)</f>
        <v>353952.8</v>
      </c>
      <c r="J31" s="39">
        <f>SUM(J32:J35)</f>
        <v>683636</v>
      </c>
      <c r="K31" s="39">
        <f>SUM(K32:K35)</f>
        <v>875575</v>
      </c>
      <c r="L31" s="40">
        <f>SUM(L32:L35)</f>
        <v>546106</v>
      </c>
      <c r="M31" s="41"/>
      <c r="N31" s="4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5:14" ht="36" customHeight="1">
      <c r="E32" s="100"/>
      <c r="F32" s="103"/>
      <c r="G32" s="20" t="s">
        <v>3</v>
      </c>
      <c r="H32" s="35">
        <f>SUM(I32:L32)</f>
        <v>2069376</v>
      </c>
      <c r="I32" s="35">
        <v>253000</v>
      </c>
      <c r="J32" s="35">
        <v>589860</v>
      </c>
      <c r="K32" s="35">
        <v>754000</v>
      </c>
      <c r="L32" s="37">
        <v>472516</v>
      </c>
      <c r="M32" s="38"/>
      <c r="N32" s="38"/>
    </row>
    <row r="33" spans="5:14" ht="53.25" customHeight="1">
      <c r="E33" s="100"/>
      <c r="F33" s="103"/>
      <c r="G33" s="20" t="s">
        <v>59</v>
      </c>
      <c r="H33" s="35">
        <f>SUM(I33:L33)</f>
        <v>17440.8</v>
      </c>
      <c r="I33" s="35">
        <v>17440.8</v>
      </c>
      <c r="J33" s="35"/>
      <c r="K33" s="35"/>
      <c r="L33" s="37"/>
      <c r="M33" s="38"/>
      <c r="N33" s="38"/>
    </row>
    <row r="34" spans="5:14" ht="36" customHeight="1">
      <c r="E34" s="100"/>
      <c r="F34" s="103"/>
      <c r="G34" s="20" t="s">
        <v>4</v>
      </c>
      <c r="H34" s="35">
        <f>SUM(I34:L34)</f>
        <v>74490</v>
      </c>
      <c r="I34" s="35">
        <v>16702</v>
      </c>
      <c r="J34" s="35">
        <v>18755</v>
      </c>
      <c r="K34" s="35">
        <v>24315</v>
      </c>
      <c r="L34" s="37">
        <v>14718</v>
      </c>
      <c r="M34" s="38"/>
      <c r="N34" s="38"/>
    </row>
    <row r="35" spans="5:14" ht="33" customHeight="1" thickBot="1">
      <c r="E35" s="101"/>
      <c r="F35" s="104"/>
      <c r="G35" s="20" t="s">
        <v>64</v>
      </c>
      <c r="H35" s="35">
        <f>SUM(I35:L35)</f>
        <v>297963</v>
      </c>
      <c r="I35" s="35">
        <v>66810</v>
      </c>
      <c r="J35" s="35">
        <v>75021</v>
      </c>
      <c r="K35" s="35">
        <v>97260</v>
      </c>
      <c r="L35" s="37">
        <v>58872</v>
      </c>
      <c r="M35" s="38"/>
      <c r="N35" s="38"/>
    </row>
    <row r="36" spans="5:14" ht="21" customHeight="1">
      <c r="E36" s="105" t="s">
        <v>30</v>
      </c>
      <c r="F36" s="126" t="s">
        <v>16</v>
      </c>
      <c r="G36" s="19" t="s">
        <v>54</v>
      </c>
      <c r="H36" s="39">
        <f>SUM(H37:H39)</f>
        <v>124852</v>
      </c>
      <c r="I36" s="39">
        <f>SUM(I37:I39)</f>
        <v>124852</v>
      </c>
      <c r="J36" s="39"/>
      <c r="K36" s="39"/>
      <c r="L36" s="40"/>
      <c r="M36" s="38"/>
      <c r="N36" s="38"/>
    </row>
    <row r="37" spans="5:14" ht="43.5" customHeight="1">
      <c r="E37" s="100"/>
      <c r="F37" s="115"/>
      <c r="G37" s="20" t="s">
        <v>3</v>
      </c>
      <c r="H37" s="35">
        <f>SUM(I37:K37)</f>
        <v>104850</v>
      </c>
      <c r="I37" s="35">
        <v>104850</v>
      </c>
      <c r="J37" s="35"/>
      <c r="K37" s="35"/>
      <c r="L37" s="37"/>
      <c r="M37" s="38"/>
      <c r="N37" s="38"/>
    </row>
    <row r="38" spans="5:14" ht="39" customHeight="1">
      <c r="E38" s="100"/>
      <c r="F38" s="115"/>
      <c r="G38" s="20" t="s">
        <v>4</v>
      </c>
      <c r="H38" s="35">
        <f>SUM(I38:K38)</f>
        <v>4000.4</v>
      </c>
      <c r="I38" s="35">
        <v>4000.4</v>
      </c>
      <c r="J38" s="35"/>
      <c r="K38" s="35"/>
      <c r="L38" s="37"/>
      <c r="M38" s="38"/>
      <c r="N38" s="38"/>
    </row>
    <row r="39" spans="5:14" ht="41.25" customHeight="1" thickBot="1">
      <c r="E39" s="101"/>
      <c r="F39" s="116"/>
      <c r="G39" s="20" t="s">
        <v>64</v>
      </c>
      <c r="H39" s="35">
        <f>SUM(I39:K39)</f>
        <v>16001.6</v>
      </c>
      <c r="I39" s="35">
        <v>16001.6</v>
      </c>
      <c r="J39" s="35"/>
      <c r="K39" s="35"/>
      <c r="L39" s="37"/>
      <c r="M39" s="38"/>
      <c r="N39" s="38"/>
    </row>
    <row r="40" spans="5:14" ht="21" customHeight="1">
      <c r="E40" s="105" t="s">
        <v>31</v>
      </c>
      <c r="F40" s="107" t="s">
        <v>9</v>
      </c>
      <c r="G40" s="19" t="s">
        <v>54</v>
      </c>
      <c r="H40" s="39">
        <f>SUM(H41:H43)</f>
        <v>1992653.2</v>
      </c>
      <c r="I40" s="39">
        <f>SUM(I41:I43)</f>
        <v>456020.19999999995</v>
      </c>
      <c r="J40" s="39">
        <f>SUM(J41:J43)</f>
        <v>940745</v>
      </c>
      <c r="K40" s="39">
        <f>SUM(K41:K43)</f>
        <v>595888</v>
      </c>
      <c r="L40" s="40"/>
      <c r="M40" s="38"/>
      <c r="N40" s="38"/>
    </row>
    <row r="41" spans="5:14" ht="34.5" customHeight="1">
      <c r="E41" s="100"/>
      <c r="F41" s="103"/>
      <c r="G41" s="20" t="s">
        <v>3</v>
      </c>
      <c r="H41" s="35">
        <f>SUM(I41:K41)</f>
        <v>1675850</v>
      </c>
      <c r="I41" s="35">
        <v>351000</v>
      </c>
      <c r="J41" s="35">
        <v>811700</v>
      </c>
      <c r="K41" s="35">
        <v>513150</v>
      </c>
      <c r="L41" s="37"/>
      <c r="M41" s="38"/>
      <c r="N41" s="38"/>
    </row>
    <row r="42" spans="5:14" ht="36" customHeight="1">
      <c r="E42" s="100"/>
      <c r="F42" s="115"/>
      <c r="G42" s="20" t="s">
        <v>4</v>
      </c>
      <c r="H42" s="35">
        <f>SUM(I42:K42)</f>
        <v>63360.64</v>
      </c>
      <c r="I42" s="35">
        <v>21004.04</v>
      </c>
      <c r="J42" s="35">
        <f>129045*0.2</f>
        <v>25809</v>
      </c>
      <c r="K42" s="35">
        <f>82738*0.2</f>
        <v>16547.600000000002</v>
      </c>
      <c r="L42" s="37"/>
      <c r="M42" s="38"/>
      <c r="N42" s="38"/>
    </row>
    <row r="43" spans="5:14" ht="34.5" customHeight="1" thickBot="1">
      <c r="E43" s="101"/>
      <c r="F43" s="116"/>
      <c r="G43" s="20" t="s">
        <v>64</v>
      </c>
      <c r="H43" s="35">
        <f>SUM(I43:K43)</f>
        <v>253442.56</v>
      </c>
      <c r="I43" s="35">
        <v>84016.16</v>
      </c>
      <c r="J43" s="35">
        <f>129045-J42</f>
        <v>103236</v>
      </c>
      <c r="K43" s="35">
        <f>82738-K42</f>
        <v>66190.4</v>
      </c>
      <c r="L43" s="37"/>
      <c r="M43" s="38"/>
      <c r="N43" s="38"/>
    </row>
    <row r="44" spans="5:14" ht="21.75" customHeight="1">
      <c r="E44" s="105" t="s">
        <v>32</v>
      </c>
      <c r="F44" s="107" t="s">
        <v>7</v>
      </c>
      <c r="G44" s="19" t="s">
        <v>54</v>
      </c>
      <c r="H44" s="39">
        <f>SUM(H45:H47)</f>
        <v>193940</v>
      </c>
      <c r="I44" s="39"/>
      <c r="J44" s="39"/>
      <c r="K44" s="39">
        <f>SUM(K45:K47)</f>
        <v>75465</v>
      </c>
      <c r="L44" s="40">
        <f>SUM(L45:L47)</f>
        <v>118475</v>
      </c>
      <c r="M44" s="38"/>
      <c r="N44" s="38"/>
    </row>
    <row r="45" spans="5:14" ht="37.5" customHeight="1">
      <c r="E45" s="100"/>
      <c r="F45" s="103"/>
      <c r="G45" s="20" t="s">
        <v>3</v>
      </c>
      <c r="H45" s="35">
        <f>SUM(I45:N45)</f>
        <v>167510</v>
      </c>
      <c r="I45" s="35"/>
      <c r="J45" s="35"/>
      <c r="K45" s="35">
        <v>65000</v>
      </c>
      <c r="L45" s="37">
        <v>102510</v>
      </c>
      <c r="M45" s="38"/>
      <c r="N45" s="38"/>
    </row>
    <row r="46" spans="5:14" ht="40.5" customHeight="1">
      <c r="E46" s="100"/>
      <c r="F46" s="103"/>
      <c r="G46" s="20" t="s">
        <v>4</v>
      </c>
      <c r="H46" s="35">
        <f>SUM(I46:N46)</f>
        <v>5286</v>
      </c>
      <c r="I46" s="35"/>
      <c r="J46" s="35"/>
      <c r="K46" s="35">
        <f>10465*0.2</f>
        <v>2093</v>
      </c>
      <c r="L46" s="37">
        <f>15965*0.2</f>
        <v>3193</v>
      </c>
      <c r="M46" s="38"/>
      <c r="N46" s="38"/>
    </row>
    <row r="47" spans="5:14" ht="39.75" customHeight="1" thickBot="1">
      <c r="E47" s="101"/>
      <c r="F47" s="104"/>
      <c r="G47" s="23" t="s">
        <v>64</v>
      </c>
      <c r="H47" s="35">
        <f>SUM(I47:N47)</f>
        <v>21144</v>
      </c>
      <c r="I47" s="47"/>
      <c r="J47" s="47"/>
      <c r="K47" s="47">
        <f>10465-K46</f>
        <v>8372</v>
      </c>
      <c r="L47" s="48">
        <f>15965-L46</f>
        <v>12772</v>
      </c>
      <c r="M47" s="38"/>
      <c r="N47" s="38"/>
    </row>
    <row r="48" spans="5:14" ht="39.75" customHeight="1">
      <c r="E48" s="78" t="s">
        <v>33</v>
      </c>
      <c r="F48" s="107" t="s">
        <v>79</v>
      </c>
      <c r="G48" s="19" t="s">
        <v>54</v>
      </c>
      <c r="H48" s="49">
        <f>SUM(I48:L48)</f>
        <v>10000</v>
      </c>
      <c r="I48" s="47"/>
      <c r="J48" s="49">
        <f>J49</f>
        <v>5000</v>
      </c>
      <c r="K48" s="49">
        <f>K49</f>
        <v>5000</v>
      </c>
      <c r="L48" s="48"/>
      <c r="M48" s="38"/>
      <c r="N48" s="38"/>
    </row>
    <row r="49" spans="5:14" ht="79.5" customHeight="1" thickBot="1">
      <c r="E49" s="136"/>
      <c r="F49" s="104"/>
      <c r="G49" s="23" t="s">
        <v>64</v>
      </c>
      <c r="H49" s="47">
        <f>SUM(I49:K49)</f>
        <v>10000</v>
      </c>
      <c r="I49" s="47"/>
      <c r="J49" s="47">
        <v>5000</v>
      </c>
      <c r="K49" s="47">
        <v>5000</v>
      </c>
      <c r="L49" s="48"/>
      <c r="M49" s="38"/>
      <c r="N49" s="38"/>
    </row>
    <row r="50" spans="5:14" ht="27" customHeight="1">
      <c r="E50" s="105" t="s">
        <v>34</v>
      </c>
      <c r="F50" s="107" t="s">
        <v>78</v>
      </c>
      <c r="G50" s="19" t="s">
        <v>54</v>
      </c>
      <c r="H50" s="39">
        <f>SUM(H51:H53)</f>
        <v>397150</v>
      </c>
      <c r="I50" s="39"/>
      <c r="J50" s="39"/>
      <c r="K50" s="39"/>
      <c r="L50" s="40">
        <f>SUM(L51:L53)</f>
        <v>187150</v>
      </c>
      <c r="M50" s="39">
        <f>SUM(M51:M53)</f>
        <v>210000</v>
      </c>
      <c r="N50" s="38"/>
    </row>
    <row r="51" spans="5:14" ht="36" customHeight="1">
      <c r="E51" s="113"/>
      <c r="F51" s="120"/>
      <c r="G51" s="20" t="s">
        <v>3</v>
      </c>
      <c r="H51" s="35">
        <f>SUM(I51:M51)</f>
        <v>315000</v>
      </c>
      <c r="I51" s="39"/>
      <c r="J51" s="39"/>
      <c r="K51" s="39"/>
      <c r="L51" s="37">
        <v>150000</v>
      </c>
      <c r="M51" s="35">
        <v>165000</v>
      </c>
      <c r="N51" s="38"/>
    </row>
    <row r="52" spans="5:14" ht="38.25" customHeight="1">
      <c r="E52" s="113"/>
      <c r="F52" s="120"/>
      <c r="G52" s="20" t="s">
        <v>4</v>
      </c>
      <c r="H52" s="35">
        <f>SUM(I52:M52)</f>
        <v>16430</v>
      </c>
      <c r="I52" s="39"/>
      <c r="J52" s="39"/>
      <c r="K52" s="39"/>
      <c r="L52" s="37">
        <f>37150*0.2</f>
        <v>7430</v>
      </c>
      <c r="M52" s="35">
        <f>45000*0.2</f>
        <v>9000</v>
      </c>
      <c r="N52" s="38"/>
    </row>
    <row r="53" spans="5:14" ht="32.25" customHeight="1" thickBot="1">
      <c r="E53" s="101"/>
      <c r="F53" s="104"/>
      <c r="G53" s="20" t="s">
        <v>64</v>
      </c>
      <c r="H53" s="35">
        <f>SUM(I53:M53)</f>
        <v>65720</v>
      </c>
      <c r="I53" s="35"/>
      <c r="J53" s="35"/>
      <c r="K53" s="35"/>
      <c r="L53" s="37">
        <f>37150-L52</f>
        <v>29720</v>
      </c>
      <c r="M53" s="35">
        <f>45000-M52</f>
        <v>36000</v>
      </c>
      <c r="N53" s="38"/>
    </row>
    <row r="54" spans="5:14" ht="22.5" customHeight="1">
      <c r="E54" s="105" t="s">
        <v>35</v>
      </c>
      <c r="F54" s="107" t="s">
        <v>8</v>
      </c>
      <c r="G54" s="17" t="s">
        <v>54</v>
      </c>
      <c r="H54" s="32">
        <f>SUM(H55:H58)</f>
        <v>219311</v>
      </c>
      <c r="I54" s="32">
        <v>10400</v>
      </c>
      <c r="J54" s="32"/>
      <c r="K54" s="32"/>
      <c r="L54" s="32"/>
      <c r="M54" s="32">
        <f>SUM(M55:M57)</f>
        <v>62000</v>
      </c>
      <c r="N54" s="32">
        <f>SUM(N55:N57)</f>
        <v>146911</v>
      </c>
    </row>
    <row r="55" spans="5:14" ht="39" customHeight="1">
      <c r="E55" s="100"/>
      <c r="F55" s="103"/>
      <c r="G55" s="20" t="s">
        <v>3</v>
      </c>
      <c r="H55" s="35">
        <f>SUM(I55:N55)</f>
        <v>167000</v>
      </c>
      <c r="I55" s="35"/>
      <c r="J55" s="35"/>
      <c r="K55" s="35"/>
      <c r="L55" s="37"/>
      <c r="M55" s="35">
        <v>50000</v>
      </c>
      <c r="N55" s="35">
        <f>117000</f>
        <v>117000</v>
      </c>
    </row>
    <row r="56" spans="5:14" ht="36.75" customHeight="1">
      <c r="E56" s="100"/>
      <c r="F56" s="103"/>
      <c r="G56" s="20" t="s">
        <v>4</v>
      </c>
      <c r="H56" s="35">
        <f>SUM(I56:N56)</f>
        <v>8382.2</v>
      </c>
      <c r="I56" s="35"/>
      <c r="J56" s="35"/>
      <c r="K56" s="35"/>
      <c r="L56" s="37"/>
      <c r="M56" s="35">
        <f>12000*0.2</f>
        <v>2400</v>
      </c>
      <c r="N56" s="35">
        <f>29911*0.2</f>
        <v>5982.200000000001</v>
      </c>
    </row>
    <row r="57" spans="5:14" ht="26.25" customHeight="1">
      <c r="E57" s="100"/>
      <c r="F57" s="103"/>
      <c r="G57" s="20" t="s">
        <v>64</v>
      </c>
      <c r="H57" s="35">
        <f>SUM(I57:N57)</f>
        <v>33528.8</v>
      </c>
      <c r="I57" s="35"/>
      <c r="J57" s="35"/>
      <c r="K57" s="35"/>
      <c r="L57" s="37"/>
      <c r="M57" s="35">
        <f>12000-M56</f>
        <v>9600</v>
      </c>
      <c r="N57" s="35">
        <f>29911-N56</f>
        <v>23928.8</v>
      </c>
    </row>
    <row r="58" spans="5:14" ht="54.75" customHeight="1" thickBot="1">
      <c r="E58" s="101"/>
      <c r="F58" s="104"/>
      <c r="G58" s="20" t="s">
        <v>2</v>
      </c>
      <c r="H58" s="35">
        <f aca="true" t="shared" si="0" ref="H58:H71">SUM(I58:K58)</f>
        <v>10400</v>
      </c>
      <c r="I58" s="35">
        <v>10400</v>
      </c>
      <c r="J58" s="35"/>
      <c r="K58" s="35"/>
      <c r="L58" s="37"/>
      <c r="M58" s="38"/>
      <c r="N58" s="38"/>
    </row>
    <row r="59" spans="5:14" ht="19.5" customHeight="1">
      <c r="E59" s="105" t="s">
        <v>36</v>
      </c>
      <c r="F59" s="107" t="s">
        <v>6</v>
      </c>
      <c r="G59" s="19" t="s">
        <v>54</v>
      </c>
      <c r="H59" s="39">
        <f t="shared" si="0"/>
        <v>49868.14</v>
      </c>
      <c r="I59" s="39">
        <f>SUM(I60:I62)</f>
        <v>49868.14</v>
      </c>
      <c r="J59" s="39"/>
      <c r="K59" s="39"/>
      <c r="L59" s="40"/>
      <c r="M59" s="38"/>
      <c r="N59" s="38"/>
    </row>
    <row r="60" spans="5:14" ht="39" customHeight="1">
      <c r="E60" s="100"/>
      <c r="F60" s="103"/>
      <c r="G60" s="20" t="s">
        <v>3</v>
      </c>
      <c r="H60" s="35">
        <f t="shared" si="0"/>
        <v>33710</v>
      </c>
      <c r="I60" s="35">
        <v>33710</v>
      </c>
      <c r="J60" s="35"/>
      <c r="K60" s="35"/>
      <c r="L60" s="37"/>
      <c r="M60" s="38"/>
      <c r="N60" s="38"/>
    </row>
    <row r="61" spans="5:14" ht="39.75" customHeight="1">
      <c r="E61" s="100"/>
      <c r="F61" s="103"/>
      <c r="G61" s="20" t="s">
        <v>4</v>
      </c>
      <c r="H61" s="35">
        <f t="shared" si="0"/>
        <v>3232</v>
      </c>
      <c r="I61" s="35">
        <v>3232</v>
      </c>
      <c r="J61" s="35"/>
      <c r="K61" s="35"/>
      <c r="L61" s="37"/>
      <c r="M61" s="38"/>
      <c r="N61" s="38"/>
    </row>
    <row r="62" spans="5:14" ht="29.25" customHeight="1" thickBot="1">
      <c r="E62" s="101"/>
      <c r="F62" s="104"/>
      <c r="G62" s="20" t="s">
        <v>64</v>
      </c>
      <c r="H62" s="35">
        <f t="shared" si="0"/>
        <v>12926.14</v>
      </c>
      <c r="I62" s="35">
        <v>12926.14</v>
      </c>
      <c r="J62" s="35"/>
      <c r="K62" s="35"/>
      <c r="L62" s="37"/>
      <c r="M62" s="38"/>
      <c r="N62" s="38"/>
    </row>
    <row r="63" spans="5:14" ht="26.25" customHeight="1" hidden="1">
      <c r="E63" s="132" t="s">
        <v>19</v>
      </c>
      <c r="F63" s="72" t="s">
        <v>51</v>
      </c>
      <c r="G63" s="9" t="s">
        <v>54</v>
      </c>
      <c r="H63" s="50">
        <f t="shared" si="0"/>
        <v>63.5</v>
      </c>
      <c r="I63" s="39">
        <f>SUM(I64:I64)</f>
        <v>63.5</v>
      </c>
      <c r="J63" s="39"/>
      <c r="K63" s="39"/>
      <c r="L63" s="40"/>
      <c r="M63" s="38"/>
      <c r="N63" s="38"/>
    </row>
    <row r="64" spans="5:14" ht="92.25" customHeight="1" hidden="1">
      <c r="E64" s="133"/>
      <c r="F64" s="73"/>
      <c r="G64" s="14" t="s">
        <v>59</v>
      </c>
      <c r="H64" s="39">
        <f t="shared" si="0"/>
        <v>63.5</v>
      </c>
      <c r="I64" s="35">
        <v>63.5</v>
      </c>
      <c r="J64" s="35"/>
      <c r="K64" s="35"/>
      <c r="L64" s="37"/>
      <c r="M64" s="38"/>
      <c r="N64" s="38"/>
    </row>
    <row r="65" spans="5:14" ht="21.75" customHeight="1" hidden="1">
      <c r="E65" s="125" t="s">
        <v>20</v>
      </c>
      <c r="F65" s="73" t="s">
        <v>53</v>
      </c>
      <c r="G65" s="9" t="s">
        <v>54</v>
      </c>
      <c r="H65" s="50">
        <f t="shared" si="0"/>
        <v>356.2</v>
      </c>
      <c r="I65" s="39">
        <f>SUM(I66:I67)</f>
        <v>356.2</v>
      </c>
      <c r="J65" s="39"/>
      <c r="K65" s="39"/>
      <c r="L65" s="40"/>
      <c r="M65" s="38"/>
      <c r="N65" s="38"/>
    </row>
    <row r="66" spans="5:14" ht="52.5" customHeight="1" hidden="1">
      <c r="E66" s="125"/>
      <c r="F66" s="73"/>
      <c r="G66" s="14" t="s">
        <v>59</v>
      </c>
      <c r="H66" s="39">
        <f t="shared" si="0"/>
        <v>318.9</v>
      </c>
      <c r="I66" s="35">
        <v>318.9</v>
      </c>
      <c r="J66" s="35"/>
      <c r="K66" s="35"/>
      <c r="L66" s="37"/>
      <c r="M66" s="38"/>
      <c r="N66" s="38"/>
    </row>
    <row r="67" spans="5:14" ht="47.25" customHeight="1" hidden="1">
      <c r="E67" s="125"/>
      <c r="F67" s="73"/>
      <c r="G67" s="14" t="s">
        <v>60</v>
      </c>
      <c r="H67" s="39">
        <f t="shared" si="0"/>
        <v>37.3</v>
      </c>
      <c r="I67" s="35">
        <v>37.3</v>
      </c>
      <c r="J67" s="35"/>
      <c r="K67" s="35"/>
      <c r="L67" s="37"/>
      <c r="M67" s="38"/>
      <c r="N67" s="38"/>
    </row>
    <row r="68" spans="5:14" ht="48.75" customHeight="1" hidden="1">
      <c r="E68" s="125" t="s">
        <v>21</v>
      </c>
      <c r="F68" s="73" t="s">
        <v>22</v>
      </c>
      <c r="G68" s="11" t="s">
        <v>54</v>
      </c>
      <c r="H68" s="51">
        <f t="shared" si="0"/>
        <v>286660</v>
      </c>
      <c r="I68" s="46">
        <f>SUM(I69:I71)</f>
        <v>3660</v>
      </c>
      <c r="J68" s="46">
        <f>SUM(J69:J71)</f>
        <v>134905</v>
      </c>
      <c r="K68" s="46">
        <f>SUM(K69:K71)</f>
        <v>148095</v>
      </c>
      <c r="L68" s="52"/>
      <c r="M68" s="38"/>
      <c r="N68" s="38"/>
    </row>
    <row r="69" spans="5:14" ht="48.75" customHeight="1" hidden="1">
      <c r="E69" s="125"/>
      <c r="F69" s="73"/>
      <c r="G69" s="15" t="s">
        <v>3</v>
      </c>
      <c r="H69" s="46">
        <f t="shared" si="0"/>
        <v>186905</v>
      </c>
      <c r="I69" s="42">
        <v>3000</v>
      </c>
      <c r="J69" s="42">
        <v>69709</v>
      </c>
      <c r="K69" s="42">
        <v>114196</v>
      </c>
      <c r="L69" s="43"/>
      <c r="M69" s="38"/>
      <c r="N69" s="38"/>
    </row>
    <row r="70" spans="5:14" ht="48.75" customHeight="1" hidden="1">
      <c r="E70" s="125"/>
      <c r="F70" s="73"/>
      <c r="G70" s="15" t="s">
        <v>4</v>
      </c>
      <c r="H70" s="46">
        <f t="shared" si="0"/>
        <v>19951</v>
      </c>
      <c r="I70" s="42">
        <v>132</v>
      </c>
      <c r="J70" s="42">
        <v>13039</v>
      </c>
      <c r="K70" s="42">
        <v>6780</v>
      </c>
      <c r="L70" s="43"/>
      <c r="M70" s="38"/>
      <c r="N70" s="38"/>
    </row>
    <row r="71" spans="5:14" ht="48.75" customHeight="1" hidden="1">
      <c r="E71" s="130"/>
      <c r="F71" s="131"/>
      <c r="G71" s="31" t="s">
        <v>64</v>
      </c>
      <c r="H71" s="53">
        <f t="shared" si="0"/>
        <v>79804</v>
      </c>
      <c r="I71" s="44">
        <v>528</v>
      </c>
      <c r="J71" s="44">
        <v>52157</v>
      </c>
      <c r="K71" s="44">
        <v>27119</v>
      </c>
      <c r="L71" s="45"/>
      <c r="M71" s="54"/>
      <c r="N71" s="54"/>
    </row>
    <row r="72" spans="5:14" ht="28.5" customHeight="1">
      <c r="E72" s="105" t="s">
        <v>37</v>
      </c>
      <c r="F72" s="107" t="s">
        <v>82</v>
      </c>
      <c r="G72" s="17" t="s">
        <v>54</v>
      </c>
      <c r="H72" s="46">
        <f>SUM(H73:H75)</f>
        <v>346199</v>
      </c>
      <c r="I72" s="46"/>
      <c r="J72" s="46">
        <f>SUM(J73:J75)</f>
        <v>346199</v>
      </c>
      <c r="K72" s="42"/>
      <c r="L72" s="42"/>
      <c r="M72" s="41"/>
      <c r="N72" s="41"/>
    </row>
    <row r="73" spans="5:14" ht="42" customHeight="1">
      <c r="E73" s="100"/>
      <c r="F73" s="103"/>
      <c r="G73" s="20" t="s">
        <v>3</v>
      </c>
      <c r="H73" s="42">
        <f>J73</f>
        <v>302383</v>
      </c>
      <c r="I73" s="42"/>
      <c r="J73" s="42">
        <v>302383</v>
      </c>
      <c r="K73" s="42"/>
      <c r="L73" s="42"/>
      <c r="M73" s="41"/>
      <c r="N73" s="41"/>
    </row>
    <row r="74" spans="5:14" ht="39.75" customHeight="1">
      <c r="E74" s="100"/>
      <c r="F74" s="103"/>
      <c r="G74" s="20" t="s">
        <v>4</v>
      </c>
      <c r="H74" s="42">
        <f>J74</f>
        <v>8763.2</v>
      </c>
      <c r="I74" s="42"/>
      <c r="J74" s="42">
        <f>43816*0.2</f>
        <v>8763.2</v>
      </c>
      <c r="K74" s="42"/>
      <c r="L74" s="42"/>
      <c r="M74" s="41"/>
      <c r="N74" s="41"/>
    </row>
    <row r="75" spans="5:14" ht="30" customHeight="1" thickBot="1">
      <c r="E75" s="106"/>
      <c r="F75" s="108"/>
      <c r="G75" s="23" t="s">
        <v>64</v>
      </c>
      <c r="H75" s="44">
        <f>J75</f>
        <v>35052.8</v>
      </c>
      <c r="I75" s="44"/>
      <c r="J75" s="44">
        <f>43816-J74</f>
        <v>35052.8</v>
      </c>
      <c r="K75" s="44"/>
      <c r="L75" s="44"/>
      <c r="M75" s="55"/>
      <c r="N75" s="55"/>
    </row>
    <row r="76" spans="5:14" ht="30" customHeight="1">
      <c r="E76" s="105" t="s">
        <v>38</v>
      </c>
      <c r="F76" s="107" t="s">
        <v>83</v>
      </c>
      <c r="G76" s="19" t="s">
        <v>54</v>
      </c>
      <c r="H76" s="46">
        <f>SUM(H77:H79)</f>
        <v>98000</v>
      </c>
      <c r="I76" s="46"/>
      <c r="J76" s="46"/>
      <c r="K76" s="46"/>
      <c r="L76" s="46">
        <f>SUM(L77:L79)</f>
        <v>98000</v>
      </c>
      <c r="M76" s="41"/>
      <c r="N76" s="41"/>
    </row>
    <row r="77" spans="5:14" ht="36" customHeight="1">
      <c r="E77" s="100"/>
      <c r="F77" s="103"/>
      <c r="G77" s="20" t="s">
        <v>3</v>
      </c>
      <c r="H77" s="42">
        <f>SUM(I77:L77)</f>
        <v>70000</v>
      </c>
      <c r="I77" s="42"/>
      <c r="J77" s="42"/>
      <c r="K77" s="42"/>
      <c r="L77" s="42">
        <v>70000</v>
      </c>
      <c r="M77" s="41"/>
      <c r="N77" s="41"/>
    </row>
    <row r="78" spans="5:14" ht="38.25" customHeight="1">
      <c r="E78" s="100"/>
      <c r="F78" s="103"/>
      <c r="G78" s="20" t="s">
        <v>4</v>
      </c>
      <c r="H78" s="42">
        <f>SUM(I78:L78)</f>
        <v>5600</v>
      </c>
      <c r="I78" s="42"/>
      <c r="J78" s="42"/>
      <c r="K78" s="42"/>
      <c r="L78" s="42">
        <f>28000*0.2</f>
        <v>5600</v>
      </c>
      <c r="M78" s="41"/>
      <c r="N78" s="41"/>
    </row>
    <row r="79" spans="5:14" ht="30" customHeight="1" thickBot="1">
      <c r="E79" s="101"/>
      <c r="F79" s="104"/>
      <c r="G79" s="20" t="s">
        <v>64</v>
      </c>
      <c r="H79" s="42">
        <f>SUM(I79:L79)</f>
        <v>22400</v>
      </c>
      <c r="I79" s="42"/>
      <c r="J79" s="42"/>
      <c r="K79" s="42"/>
      <c r="L79" s="42">
        <f>28000-L78</f>
        <v>22400</v>
      </c>
      <c r="M79" s="41"/>
      <c r="N79" s="41"/>
    </row>
    <row r="80" spans="5:14" ht="27" customHeight="1">
      <c r="E80" s="99" t="s">
        <v>39</v>
      </c>
      <c r="F80" s="102" t="s">
        <v>81</v>
      </c>
      <c r="G80" s="17" t="s">
        <v>54</v>
      </c>
      <c r="H80" s="56">
        <f>SUM(H81:H83)</f>
        <v>156002</v>
      </c>
      <c r="I80" s="56"/>
      <c r="J80" s="56"/>
      <c r="K80" s="56"/>
      <c r="L80" s="56">
        <f>SUM(L81:L83)</f>
        <v>49002</v>
      </c>
      <c r="M80" s="32">
        <f>SUM(M81:M83)</f>
        <v>107000</v>
      </c>
      <c r="N80" s="57"/>
    </row>
    <row r="81" spans="5:14" ht="42.75" customHeight="1">
      <c r="E81" s="100"/>
      <c r="F81" s="103"/>
      <c r="G81" s="20" t="s">
        <v>3</v>
      </c>
      <c r="H81" s="42">
        <f>SUM(I81:N81)</f>
        <v>128367</v>
      </c>
      <c r="I81" s="42"/>
      <c r="J81" s="42"/>
      <c r="K81" s="42"/>
      <c r="L81" s="42">
        <v>40367</v>
      </c>
      <c r="M81" s="35">
        <v>88000</v>
      </c>
      <c r="N81" s="38"/>
    </row>
    <row r="82" spans="5:14" ht="42" customHeight="1">
      <c r="E82" s="100"/>
      <c r="F82" s="103"/>
      <c r="G82" s="20" t="s">
        <v>4</v>
      </c>
      <c r="H82" s="42">
        <f>SUM(I82:N82)</f>
        <v>5527</v>
      </c>
      <c r="I82" s="42"/>
      <c r="J82" s="42"/>
      <c r="K82" s="42"/>
      <c r="L82" s="42">
        <f>8635*0.2</f>
        <v>1727</v>
      </c>
      <c r="M82" s="35">
        <f>19000*0.2</f>
        <v>3800</v>
      </c>
      <c r="N82" s="38"/>
    </row>
    <row r="83" spans="5:14" ht="33" customHeight="1" thickBot="1">
      <c r="E83" s="101"/>
      <c r="F83" s="104"/>
      <c r="G83" s="20" t="s">
        <v>64</v>
      </c>
      <c r="H83" s="42">
        <f>SUM(I83:N83)</f>
        <v>22108</v>
      </c>
      <c r="I83" s="42"/>
      <c r="J83" s="42"/>
      <c r="K83" s="42"/>
      <c r="L83" s="42">
        <f>8635-L82</f>
        <v>6908</v>
      </c>
      <c r="M83" s="35">
        <f>19000-M82</f>
        <v>15200</v>
      </c>
      <c r="N83" s="38"/>
    </row>
    <row r="84" spans="5:14" ht="30.75" customHeight="1">
      <c r="E84" s="99" t="s">
        <v>40</v>
      </c>
      <c r="F84" s="121" t="s">
        <v>70</v>
      </c>
      <c r="G84" s="17" t="s">
        <v>54</v>
      </c>
      <c r="H84" s="32">
        <f>SUM(H85:H87)</f>
        <v>297909</v>
      </c>
      <c r="I84" s="32">
        <f>SUM(I85:I87)</f>
        <v>3660</v>
      </c>
      <c r="J84" s="32">
        <f>SUM(J85:J87)</f>
        <v>134905</v>
      </c>
      <c r="K84" s="32">
        <f>SUM(K85:K87)</f>
        <v>159344</v>
      </c>
      <c r="L84" s="32"/>
      <c r="M84" s="34"/>
      <c r="N84" s="34"/>
    </row>
    <row r="85" spans="5:14" ht="59.25" customHeight="1">
      <c r="E85" s="100"/>
      <c r="F85" s="122"/>
      <c r="G85" s="20" t="s">
        <v>80</v>
      </c>
      <c r="H85" s="35">
        <f aca="true" t="shared" si="1" ref="H85:H93">SUM(I85:K85)</f>
        <v>195579</v>
      </c>
      <c r="I85" s="35">
        <v>3000</v>
      </c>
      <c r="J85" s="35">
        <v>69709</v>
      </c>
      <c r="K85" s="35">
        <v>122870</v>
      </c>
      <c r="L85" s="35"/>
      <c r="M85" s="38"/>
      <c r="N85" s="38"/>
    </row>
    <row r="86" spans="5:14" ht="38.25" customHeight="1">
      <c r="E86" s="111"/>
      <c r="F86" s="123"/>
      <c r="G86" s="20" t="s">
        <v>4</v>
      </c>
      <c r="H86" s="35">
        <f t="shared" si="1"/>
        <v>20466</v>
      </c>
      <c r="I86" s="35">
        <f>660*0.2</f>
        <v>132</v>
      </c>
      <c r="J86" s="35">
        <f>65196*0.2</f>
        <v>13039.2</v>
      </c>
      <c r="K86" s="35">
        <f>36474*0.2</f>
        <v>7294.8</v>
      </c>
      <c r="L86" s="35"/>
      <c r="M86" s="38"/>
      <c r="N86" s="38"/>
    </row>
    <row r="87" spans="5:14" ht="19.5" customHeight="1" thickBot="1">
      <c r="E87" s="112"/>
      <c r="F87" s="124"/>
      <c r="G87" s="23" t="s">
        <v>64</v>
      </c>
      <c r="H87" s="47">
        <f t="shared" si="1"/>
        <v>81864</v>
      </c>
      <c r="I87" s="47">
        <f>660-I86</f>
        <v>528</v>
      </c>
      <c r="J87" s="47">
        <f>65196-J86</f>
        <v>52156.8</v>
      </c>
      <c r="K87" s="47">
        <f>36474-K86</f>
        <v>29179.2</v>
      </c>
      <c r="L87" s="47"/>
      <c r="M87" s="54"/>
      <c r="N87" s="54"/>
    </row>
    <row r="88" spans="5:14" ht="27" customHeight="1">
      <c r="E88" s="117" t="s">
        <v>41</v>
      </c>
      <c r="F88" s="107" t="s">
        <v>52</v>
      </c>
      <c r="G88" s="19" t="s">
        <v>54</v>
      </c>
      <c r="H88" s="39">
        <f t="shared" si="1"/>
        <v>213662.8</v>
      </c>
      <c r="I88" s="39">
        <f>SUM(I89:I90)</f>
        <v>213662.8</v>
      </c>
      <c r="J88" s="39"/>
      <c r="K88" s="39"/>
      <c r="L88" s="39"/>
      <c r="M88" s="38"/>
      <c r="N88" s="38"/>
    </row>
    <row r="89" spans="5:14" ht="83.25" customHeight="1">
      <c r="E89" s="118"/>
      <c r="F89" s="120"/>
      <c r="G89" s="20" t="s">
        <v>59</v>
      </c>
      <c r="H89" s="35">
        <f t="shared" si="1"/>
        <v>204662.8</v>
      </c>
      <c r="I89" s="35">
        <v>204662.8</v>
      </c>
      <c r="J89" s="39"/>
      <c r="K89" s="39"/>
      <c r="L89" s="39"/>
      <c r="M89" s="38"/>
      <c r="N89" s="38"/>
    </row>
    <row r="90" spans="5:14" ht="33.75" customHeight="1" thickBot="1">
      <c r="E90" s="119"/>
      <c r="F90" s="104"/>
      <c r="G90" s="20" t="s">
        <v>64</v>
      </c>
      <c r="H90" s="35">
        <f t="shared" si="1"/>
        <v>9000</v>
      </c>
      <c r="I90" s="35">
        <v>9000</v>
      </c>
      <c r="J90" s="35"/>
      <c r="K90" s="35"/>
      <c r="L90" s="35"/>
      <c r="M90" s="38"/>
      <c r="N90" s="38"/>
    </row>
    <row r="91" spans="5:14" ht="19.5" customHeight="1">
      <c r="E91" s="99" t="s">
        <v>42</v>
      </c>
      <c r="F91" s="127" t="s">
        <v>61</v>
      </c>
      <c r="G91" s="17" t="s">
        <v>54</v>
      </c>
      <c r="H91" s="32">
        <f t="shared" si="1"/>
        <v>97242.4</v>
      </c>
      <c r="I91" s="56">
        <f>SUM(I92:I93)</f>
        <v>97242.4</v>
      </c>
      <c r="J91" s="32"/>
      <c r="K91" s="32"/>
      <c r="L91" s="33"/>
      <c r="M91" s="34"/>
      <c r="N91" s="34"/>
    </row>
    <row r="92" spans="5:14" ht="32.25" customHeight="1">
      <c r="E92" s="100"/>
      <c r="F92" s="128"/>
      <c r="G92" s="20" t="s">
        <v>4</v>
      </c>
      <c r="H92" s="35">
        <f t="shared" si="1"/>
        <v>58990.9</v>
      </c>
      <c r="I92" s="42">
        <v>58990.9</v>
      </c>
      <c r="J92" s="39"/>
      <c r="K92" s="39"/>
      <c r="L92" s="40"/>
      <c r="M92" s="38"/>
      <c r="N92" s="38"/>
    </row>
    <row r="93" spans="5:14" ht="63.75" customHeight="1" thickBot="1">
      <c r="E93" s="101"/>
      <c r="F93" s="129"/>
      <c r="G93" s="20" t="s">
        <v>64</v>
      </c>
      <c r="H93" s="35">
        <f t="shared" si="1"/>
        <v>38251.5</v>
      </c>
      <c r="I93" s="42">
        <v>38251.5</v>
      </c>
      <c r="J93" s="35"/>
      <c r="K93" s="35"/>
      <c r="L93" s="37"/>
      <c r="M93" s="38"/>
      <c r="N93" s="38"/>
    </row>
    <row r="94" spans="5:14" ht="19.5" customHeight="1">
      <c r="E94" s="99" t="s">
        <v>43</v>
      </c>
      <c r="F94" s="127" t="s">
        <v>63</v>
      </c>
      <c r="G94" s="17" t="s">
        <v>54</v>
      </c>
      <c r="H94" s="32">
        <f>SUM(H95:H96)</f>
        <v>52752.2</v>
      </c>
      <c r="I94" s="32">
        <f>SUM(I95:I96)</f>
        <v>52752.2</v>
      </c>
      <c r="J94" s="58"/>
      <c r="K94" s="58"/>
      <c r="L94" s="59"/>
      <c r="M94" s="38"/>
      <c r="N94" s="38"/>
    </row>
    <row r="95" spans="5:14" ht="35.25" customHeight="1">
      <c r="E95" s="100"/>
      <c r="F95" s="128"/>
      <c r="G95" s="20" t="s">
        <v>4</v>
      </c>
      <c r="H95" s="35">
        <f>SUM(I95:K95)</f>
        <v>41009.1</v>
      </c>
      <c r="I95" s="35">
        <v>41009.1</v>
      </c>
      <c r="J95" s="35"/>
      <c r="K95" s="35"/>
      <c r="L95" s="37"/>
      <c r="M95" s="38"/>
      <c r="N95" s="38"/>
    </row>
    <row r="96" spans="5:14" ht="60.75" customHeight="1" thickBot="1">
      <c r="E96" s="101"/>
      <c r="F96" s="129"/>
      <c r="G96" s="20" t="s">
        <v>64</v>
      </c>
      <c r="H96" s="35">
        <f>SUM(I96:K96)</f>
        <v>11743.1</v>
      </c>
      <c r="I96" s="35">
        <v>11743.1</v>
      </c>
      <c r="J96" s="35"/>
      <c r="K96" s="35"/>
      <c r="L96" s="37"/>
      <c r="M96" s="38"/>
      <c r="N96" s="38"/>
    </row>
    <row r="97" spans="5:14" ht="18" customHeight="1">
      <c r="E97" s="105" t="s">
        <v>44</v>
      </c>
      <c r="F97" s="107" t="s">
        <v>13</v>
      </c>
      <c r="G97" s="19" t="s">
        <v>54</v>
      </c>
      <c r="H97" s="39">
        <f>SUM(I97:K97)</f>
        <v>93000</v>
      </c>
      <c r="I97" s="39"/>
      <c r="J97" s="39"/>
      <c r="K97" s="39">
        <f>SUM(K98:K99)</f>
        <v>93000</v>
      </c>
      <c r="L97" s="40"/>
      <c r="M97" s="38"/>
      <c r="N97" s="38"/>
    </row>
    <row r="98" spans="5:14" ht="34.5" customHeight="1">
      <c r="E98" s="100"/>
      <c r="F98" s="103"/>
      <c r="G98" s="20" t="s">
        <v>4</v>
      </c>
      <c r="H98" s="35">
        <f>SUM(I98:K98)</f>
        <v>5400</v>
      </c>
      <c r="I98" s="39"/>
      <c r="J98" s="39"/>
      <c r="K98" s="35">
        <v>5400</v>
      </c>
      <c r="L98" s="37"/>
      <c r="M98" s="38"/>
      <c r="N98" s="38"/>
    </row>
    <row r="99" spans="5:14" ht="57" customHeight="1" thickBot="1">
      <c r="E99" s="106"/>
      <c r="F99" s="108"/>
      <c r="G99" s="23" t="s">
        <v>64</v>
      </c>
      <c r="H99" s="47">
        <f>SUM(I99:K99)</f>
        <v>87600</v>
      </c>
      <c r="I99" s="47"/>
      <c r="J99" s="47"/>
      <c r="K99" s="47">
        <v>87600</v>
      </c>
      <c r="L99" s="48"/>
      <c r="M99" s="54"/>
      <c r="N99" s="54"/>
    </row>
    <row r="100" spans="5:14" ht="20.25" customHeight="1">
      <c r="E100" s="105" t="s">
        <v>45</v>
      </c>
      <c r="F100" s="107" t="s">
        <v>11</v>
      </c>
      <c r="G100" s="19" t="s">
        <v>54</v>
      </c>
      <c r="H100" s="39">
        <v>7010.7</v>
      </c>
      <c r="I100" s="39">
        <f>SUM(I101:I101)</f>
        <v>7010.7</v>
      </c>
      <c r="J100" s="39"/>
      <c r="K100" s="39"/>
      <c r="L100" s="39"/>
      <c r="M100" s="38"/>
      <c r="N100" s="38"/>
    </row>
    <row r="101" spans="5:14" ht="111" customHeight="1" thickBot="1">
      <c r="E101" s="101"/>
      <c r="F101" s="104"/>
      <c r="G101" s="20" t="s">
        <v>64</v>
      </c>
      <c r="H101" s="35">
        <f aca="true" t="shared" si="2" ref="H101:H109">SUM(I101:K101)</f>
        <v>7010.7</v>
      </c>
      <c r="I101" s="35">
        <v>7010.7</v>
      </c>
      <c r="J101" s="35"/>
      <c r="K101" s="35"/>
      <c r="L101" s="35"/>
      <c r="M101" s="38"/>
      <c r="N101" s="38"/>
    </row>
    <row r="102" spans="5:14" ht="21.75" customHeight="1">
      <c r="E102" s="99" t="s">
        <v>46</v>
      </c>
      <c r="F102" s="102" t="s">
        <v>71</v>
      </c>
      <c r="G102" s="17" t="s">
        <v>54</v>
      </c>
      <c r="H102" s="32">
        <v>1378</v>
      </c>
      <c r="I102" s="32">
        <v>1378</v>
      </c>
      <c r="J102" s="58"/>
      <c r="K102" s="58"/>
      <c r="L102" s="59"/>
      <c r="M102" s="34"/>
      <c r="N102" s="34"/>
    </row>
    <row r="103" spans="5:14" ht="38.25" customHeight="1" thickBot="1">
      <c r="E103" s="101"/>
      <c r="F103" s="104"/>
      <c r="G103" s="20" t="s">
        <v>64</v>
      </c>
      <c r="H103" s="35">
        <v>1378</v>
      </c>
      <c r="I103" s="35">
        <v>1378</v>
      </c>
      <c r="J103" s="35"/>
      <c r="K103" s="35"/>
      <c r="L103" s="37"/>
      <c r="M103" s="38"/>
      <c r="N103" s="38"/>
    </row>
    <row r="104" spans="5:14" ht="17.25" customHeight="1">
      <c r="E104" s="99" t="s">
        <v>47</v>
      </c>
      <c r="F104" s="89" t="s">
        <v>15</v>
      </c>
      <c r="G104" s="17" t="s">
        <v>54</v>
      </c>
      <c r="H104" s="32">
        <f t="shared" si="2"/>
        <v>200</v>
      </c>
      <c r="I104" s="32">
        <f>SUM(I105:I105)</f>
        <v>200</v>
      </c>
      <c r="J104" s="32"/>
      <c r="K104" s="32"/>
      <c r="L104" s="33"/>
      <c r="M104" s="38"/>
      <c r="N104" s="38"/>
    </row>
    <row r="105" spans="5:14" ht="110.25" customHeight="1" thickBot="1">
      <c r="E105" s="101"/>
      <c r="F105" s="90"/>
      <c r="G105" s="20" t="s">
        <v>64</v>
      </c>
      <c r="H105" s="35">
        <f t="shared" si="2"/>
        <v>200</v>
      </c>
      <c r="I105" s="35">
        <v>200</v>
      </c>
      <c r="J105" s="35"/>
      <c r="K105" s="35"/>
      <c r="L105" s="37"/>
      <c r="M105" s="38"/>
      <c r="N105" s="38"/>
    </row>
    <row r="106" spans="5:14" ht="19.5" customHeight="1">
      <c r="E106" s="105" t="s">
        <v>48</v>
      </c>
      <c r="F106" s="96" t="s">
        <v>14</v>
      </c>
      <c r="G106" s="19" t="s">
        <v>54</v>
      </c>
      <c r="H106" s="39">
        <f t="shared" si="2"/>
        <v>95000</v>
      </c>
      <c r="I106" s="39"/>
      <c r="J106" s="39">
        <f>SUM(J107:J107)</f>
        <v>95000</v>
      </c>
      <c r="K106" s="39"/>
      <c r="L106" s="40"/>
      <c r="M106" s="38"/>
      <c r="N106" s="38"/>
    </row>
    <row r="107" spans="5:14" ht="106.5" customHeight="1" thickBot="1">
      <c r="E107" s="106"/>
      <c r="F107" s="97"/>
      <c r="G107" s="23" t="s">
        <v>64</v>
      </c>
      <c r="H107" s="47">
        <f t="shared" si="2"/>
        <v>95000</v>
      </c>
      <c r="I107" s="47"/>
      <c r="J107" s="47">
        <v>95000</v>
      </c>
      <c r="K107" s="47"/>
      <c r="L107" s="48"/>
      <c r="M107" s="54"/>
      <c r="N107" s="54"/>
    </row>
    <row r="108" spans="5:14" ht="18.75" customHeight="1">
      <c r="E108" s="105" t="s">
        <v>49</v>
      </c>
      <c r="F108" s="74" t="s">
        <v>88</v>
      </c>
      <c r="G108" s="19" t="s">
        <v>54</v>
      </c>
      <c r="H108" s="39">
        <f t="shared" si="2"/>
        <v>2447.6</v>
      </c>
      <c r="I108" s="39">
        <f>SUM(I109:I109)</f>
        <v>2447.6</v>
      </c>
      <c r="J108" s="39"/>
      <c r="K108" s="39"/>
      <c r="L108" s="39"/>
      <c r="M108" s="38"/>
      <c r="N108" s="38"/>
    </row>
    <row r="109" spans="5:14" ht="91.5" customHeight="1" thickBot="1">
      <c r="E109" s="106"/>
      <c r="F109" s="114"/>
      <c r="G109" s="23" t="s">
        <v>64</v>
      </c>
      <c r="H109" s="47">
        <f t="shared" si="2"/>
        <v>2447.6</v>
      </c>
      <c r="I109" s="47">
        <f>2844.4-396.8</f>
        <v>2447.6</v>
      </c>
      <c r="J109" s="47"/>
      <c r="K109" s="47"/>
      <c r="L109" s="47"/>
      <c r="M109" s="54"/>
      <c r="N109" s="54"/>
    </row>
    <row r="110" spans="5:14" ht="18.75" customHeight="1">
      <c r="E110" s="105" t="s">
        <v>50</v>
      </c>
      <c r="F110" s="71" t="s">
        <v>72</v>
      </c>
      <c r="G110" s="19" t="s">
        <v>54</v>
      </c>
      <c r="H110" s="39">
        <f>H111</f>
        <v>2484</v>
      </c>
      <c r="I110" s="39">
        <f>I111</f>
        <v>2484</v>
      </c>
      <c r="J110" s="35"/>
      <c r="K110" s="39"/>
      <c r="L110" s="39"/>
      <c r="M110" s="38"/>
      <c r="N110" s="38"/>
    </row>
    <row r="111" spans="5:14" ht="99" customHeight="1" thickBot="1">
      <c r="E111" s="101"/>
      <c r="F111" s="88"/>
      <c r="G111" s="21" t="s">
        <v>64</v>
      </c>
      <c r="H111" s="35">
        <f>I111</f>
        <v>2484</v>
      </c>
      <c r="I111" s="35">
        <v>2484</v>
      </c>
      <c r="J111" s="35"/>
      <c r="K111" s="35"/>
      <c r="L111" s="35"/>
      <c r="M111" s="38"/>
      <c r="N111" s="38"/>
    </row>
    <row r="112" spans="5:14" ht="42" customHeight="1">
      <c r="E112" s="113" t="s">
        <v>84</v>
      </c>
      <c r="F112" s="87" t="s">
        <v>87</v>
      </c>
      <c r="G112" s="17" t="s">
        <v>54</v>
      </c>
      <c r="H112" s="32">
        <f>H113</f>
        <v>3500</v>
      </c>
      <c r="I112" s="32">
        <f>I113</f>
        <v>3500</v>
      </c>
      <c r="J112" s="58"/>
      <c r="K112" s="32"/>
      <c r="L112" s="33"/>
      <c r="M112" s="34"/>
      <c r="N112" s="34"/>
    </row>
    <row r="113" spans="5:14" ht="89.25" customHeight="1" thickBot="1">
      <c r="E113" s="86"/>
      <c r="F113" s="88"/>
      <c r="G113" s="21" t="s">
        <v>64</v>
      </c>
      <c r="H113" s="35">
        <f>I113</f>
        <v>3500</v>
      </c>
      <c r="I113" s="35">
        <v>3500</v>
      </c>
      <c r="J113" s="35"/>
      <c r="K113" s="35"/>
      <c r="L113" s="37"/>
      <c r="M113" s="38"/>
      <c r="N113" s="38"/>
    </row>
    <row r="114" spans="5:14" ht="63.75" customHeight="1" hidden="1">
      <c r="E114" s="78" t="s">
        <v>85</v>
      </c>
      <c r="F114" s="98" t="s">
        <v>73</v>
      </c>
      <c r="G114" s="19" t="s">
        <v>54</v>
      </c>
      <c r="H114" s="39">
        <f>H115</f>
        <v>2447.6</v>
      </c>
      <c r="I114" s="39">
        <f>I115</f>
        <v>2447.6</v>
      </c>
      <c r="J114" s="35"/>
      <c r="K114" s="39"/>
      <c r="L114" s="40"/>
      <c r="M114" s="38"/>
      <c r="N114" s="38"/>
    </row>
    <row r="115" spans="5:14" ht="63.75" customHeight="1" hidden="1" thickBot="1">
      <c r="E115" s="86"/>
      <c r="F115" s="77"/>
      <c r="G115" s="21" t="s">
        <v>64</v>
      </c>
      <c r="H115" s="35">
        <f>I115</f>
        <v>2447.6</v>
      </c>
      <c r="I115" s="35">
        <v>2447.6</v>
      </c>
      <c r="J115" s="35"/>
      <c r="K115" s="35"/>
      <c r="L115" s="37"/>
      <c r="M115" s="38"/>
      <c r="N115" s="38"/>
    </row>
    <row r="116" spans="5:14" ht="63.75" customHeight="1">
      <c r="E116" s="78" t="s">
        <v>85</v>
      </c>
      <c r="F116" s="98" t="s">
        <v>74</v>
      </c>
      <c r="G116" s="19" t="s">
        <v>54</v>
      </c>
      <c r="H116" s="39">
        <f>H117</f>
        <v>3952</v>
      </c>
      <c r="I116" s="39">
        <f>I117</f>
        <v>3952</v>
      </c>
      <c r="J116" s="35"/>
      <c r="K116" s="39"/>
      <c r="L116" s="40"/>
      <c r="M116" s="38"/>
      <c r="N116" s="38"/>
    </row>
    <row r="117" spans="5:14" ht="88.5" customHeight="1" thickBot="1">
      <c r="E117" s="113"/>
      <c r="F117" s="79"/>
      <c r="G117" s="22" t="s">
        <v>64</v>
      </c>
      <c r="H117" s="47">
        <f>I117</f>
        <v>3952</v>
      </c>
      <c r="I117" s="47">
        <v>3952</v>
      </c>
      <c r="J117" s="47"/>
      <c r="K117" s="47"/>
      <c r="L117" s="48"/>
      <c r="M117" s="38"/>
      <c r="N117" s="38"/>
    </row>
    <row r="118" spans="5:14" ht="44.25" customHeight="1">
      <c r="E118" s="91" t="s">
        <v>65</v>
      </c>
      <c r="F118" s="92"/>
      <c r="G118" s="93"/>
      <c r="H118" s="60">
        <f>SUM(I118:N118)</f>
        <v>9105996.24</v>
      </c>
      <c r="I118" s="61">
        <f>SUM(I119:I122)</f>
        <v>1465638.2400000002</v>
      </c>
      <c r="J118" s="61">
        <f>SUM(J119:J122)</f>
        <v>3342879</v>
      </c>
      <c r="K118" s="61">
        <f>SUM(K119:K122)</f>
        <v>2590269</v>
      </c>
      <c r="L118" s="62">
        <f>SUM(L119:L122)</f>
        <v>1123299</v>
      </c>
      <c r="M118" s="63">
        <f>SUM(M119:M121)</f>
        <v>379000</v>
      </c>
      <c r="N118" s="63">
        <f>SUM(N119:N121)</f>
        <v>204911</v>
      </c>
    </row>
    <row r="119" spans="5:14" ht="42.75" customHeight="1">
      <c r="E119" s="94" t="s">
        <v>3</v>
      </c>
      <c r="F119" s="95"/>
      <c r="G119" s="95"/>
      <c r="H119" s="39">
        <f>SUM(I119:N119)</f>
        <v>7325981.6</v>
      </c>
      <c r="I119" s="63">
        <f>I89+I85+I60+I41+I37+I33+I32+I12+I8</f>
        <v>1035623.6000000001</v>
      </c>
      <c r="J119" s="63">
        <f>J85+J41+J32+J24+J20+J16+J12+J8+J73</f>
        <v>2765165</v>
      </c>
      <c r="K119" s="63">
        <f>K85+K45+K41+K32+K24+K20+K16</f>
        <v>2132020</v>
      </c>
      <c r="L119" s="64">
        <f>L51+L45+L32+L24+L20+L77+L81</f>
        <v>943173</v>
      </c>
      <c r="M119" s="63">
        <f>M81+M55+M51</f>
        <v>303000</v>
      </c>
      <c r="N119" s="63">
        <f>N55+N28</f>
        <v>147000</v>
      </c>
    </row>
    <row r="120" spans="5:14" ht="35.25" customHeight="1">
      <c r="E120" s="109" t="s">
        <v>4</v>
      </c>
      <c r="F120" s="110"/>
      <c r="G120" s="110"/>
      <c r="H120" s="39">
        <f>SUM(I120:N120)</f>
        <v>383724.24000000005</v>
      </c>
      <c r="I120" s="65">
        <f>I98+I95+I92+I86+I61+I42+I38+I34+I13+I9</f>
        <v>147924.44</v>
      </c>
      <c r="J120" s="65">
        <f>J86+J42+J34+J25+J21+J17+J13+J9+J74</f>
        <v>95542.6</v>
      </c>
      <c r="K120" s="65">
        <f>K98+K86+K46+K42+K34+K25+K21+K17</f>
        <v>77449.8</v>
      </c>
      <c r="L120" s="66">
        <f>L52+L46+L34+L25+L21+L78+L82</f>
        <v>36025.2</v>
      </c>
      <c r="M120" s="63">
        <f>M82+M56+M52</f>
        <v>15200</v>
      </c>
      <c r="N120" s="63">
        <f>N56+N29</f>
        <v>11582.2</v>
      </c>
    </row>
    <row r="121" spans="5:14" ht="27.75" customHeight="1">
      <c r="E121" s="109" t="s">
        <v>67</v>
      </c>
      <c r="F121" s="110"/>
      <c r="G121" s="110"/>
      <c r="H121" s="39">
        <f>SUM(I121:N121)</f>
        <v>1385890.4000000001</v>
      </c>
      <c r="I121" s="65">
        <f>I117+I113+I111+I109+I107+I105+I103+I101+I96+I93+I90+I87+I62+I43+I39+I35+I14+I10</f>
        <v>271690.20000000007</v>
      </c>
      <c r="J121" s="65">
        <f>J107+J93+J87+J49+J43+J35+J26+J22+J18+J14+J10+J75</f>
        <v>482171.4</v>
      </c>
      <c r="K121" s="65">
        <f>K99+K87+K49+K47+K43+K35+K26+K22+K18</f>
        <v>380799.19999999995</v>
      </c>
      <c r="L121" s="66">
        <f>L53+L47+L35+L26+L22+L79+L83</f>
        <v>144100.8</v>
      </c>
      <c r="M121" s="63">
        <f>M83+M57+M53</f>
        <v>60800</v>
      </c>
      <c r="N121" s="63">
        <f>N57+N30</f>
        <v>46328.8</v>
      </c>
    </row>
    <row r="122" spans="5:14" ht="57" customHeight="1" thickBot="1">
      <c r="E122" s="75" t="s">
        <v>66</v>
      </c>
      <c r="F122" s="76"/>
      <c r="G122" s="70"/>
      <c r="H122" s="67">
        <v>10400</v>
      </c>
      <c r="I122" s="67">
        <v>10400</v>
      </c>
      <c r="J122" s="68"/>
      <c r="K122" s="68"/>
      <c r="L122" s="69"/>
      <c r="M122" s="38"/>
      <c r="N122" s="38"/>
    </row>
    <row r="123" spans="5:14" ht="57.75" customHeight="1">
      <c r="E123" s="7"/>
      <c r="F123" s="5"/>
      <c r="G123" s="16"/>
      <c r="H123" s="5"/>
      <c r="I123" s="5"/>
      <c r="J123" s="5"/>
      <c r="K123" s="30"/>
      <c r="L123" s="30"/>
      <c r="M123" s="2"/>
      <c r="N123" s="2"/>
    </row>
    <row r="124" spans="5:14" ht="57" customHeight="1">
      <c r="E124" s="7"/>
      <c r="F124" s="5"/>
      <c r="G124" s="16"/>
      <c r="H124" s="5"/>
      <c r="I124" s="5"/>
      <c r="J124" s="5"/>
      <c r="K124" s="30"/>
      <c r="L124" s="30"/>
      <c r="M124" s="2"/>
      <c r="N124" s="2"/>
    </row>
    <row r="125" spans="5:14" ht="59.25" customHeight="1">
      <c r="E125" s="7"/>
      <c r="F125" s="5"/>
      <c r="G125" s="16"/>
      <c r="H125" s="5"/>
      <c r="I125" s="5"/>
      <c r="J125" s="5"/>
      <c r="K125" s="30"/>
      <c r="L125" s="30"/>
      <c r="M125" s="2"/>
      <c r="N125" s="2"/>
    </row>
    <row r="126" spans="5:14" ht="18.75">
      <c r="E126" s="29"/>
      <c r="F126" s="4"/>
      <c r="G126" s="4"/>
      <c r="H126" s="5"/>
      <c r="I126" s="5"/>
      <c r="J126" s="5"/>
      <c r="K126" s="5"/>
      <c r="L126" s="5"/>
      <c r="M126" s="2"/>
      <c r="N126" s="2"/>
    </row>
    <row r="127" spans="5:14" ht="18.75">
      <c r="E127" s="29"/>
      <c r="F127" s="4"/>
      <c r="G127" s="4"/>
      <c r="H127" s="5"/>
      <c r="I127" s="5"/>
      <c r="J127" s="5"/>
      <c r="K127" s="5"/>
      <c r="L127" s="5"/>
      <c r="M127" s="2"/>
      <c r="N127" s="2"/>
    </row>
    <row r="128" spans="5:14" ht="18.75">
      <c r="E128" s="29"/>
      <c r="F128" s="4"/>
      <c r="G128" s="4"/>
      <c r="H128" s="5"/>
      <c r="I128" s="5"/>
      <c r="J128" s="5"/>
      <c r="K128" s="5"/>
      <c r="L128" s="5"/>
      <c r="M128" s="2"/>
      <c r="N128" s="2"/>
    </row>
    <row r="129" spans="5:14" ht="18.75">
      <c r="E129" s="29"/>
      <c r="F129" s="4"/>
      <c r="G129" s="4"/>
      <c r="H129" s="5"/>
      <c r="I129" s="5"/>
      <c r="J129" s="5"/>
      <c r="K129" s="5"/>
      <c r="L129" s="5"/>
      <c r="M129" s="2"/>
      <c r="N129" s="2"/>
    </row>
    <row r="130" spans="5:14" ht="18.75">
      <c r="E130" s="29"/>
      <c r="F130" s="4"/>
      <c r="G130" s="4"/>
      <c r="H130" s="5"/>
      <c r="I130" s="5"/>
      <c r="J130" s="5"/>
      <c r="K130" s="5"/>
      <c r="L130" s="5"/>
      <c r="M130" s="2"/>
      <c r="N130" s="2"/>
    </row>
    <row r="131" spans="5:14" ht="18.75">
      <c r="E131" s="29"/>
      <c r="F131" s="4"/>
      <c r="G131" s="4"/>
      <c r="H131" s="5"/>
      <c r="I131" s="5"/>
      <c r="J131" s="5"/>
      <c r="K131" s="5"/>
      <c r="L131" s="5"/>
      <c r="M131" s="2"/>
      <c r="N131" s="2"/>
    </row>
    <row r="132" spans="5:14" ht="18.75">
      <c r="E132" s="29"/>
      <c r="F132" s="4"/>
      <c r="G132" s="4"/>
      <c r="H132" s="5"/>
      <c r="I132" s="5"/>
      <c r="J132" s="5"/>
      <c r="K132" s="5"/>
      <c r="L132" s="5"/>
      <c r="M132" s="2"/>
      <c r="N132" s="2"/>
    </row>
    <row r="133" spans="5:14" ht="18.75">
      <c r="E133" s="29"/>
      <c r="F133" s="4"/>
      <c r="G133" s="4"/>
      <c r="H133" s="5"/>
      <c r="I133" s="5"/>
      <c r="J133" s="5"/>
      <c r="K133" s="5"/>
      <c r="L133" s="5"/>
      <c r="M133" s="2"/>
      <c r="N133" s="2"/>
    </row>
    <row r="134" spans="5:14" ht="18.75">
      <c r="E134" s="29"/>
      <c r="F134" s="4"/>
      <c r="G134" s="4"/>
      <c r="H134" s="5"/>
      <c r="I134" s="5"/>
      <c r="J134" s="5"/>
      <c r="K134" s="5"/>
      <c r="L134" s="5"/>
      <c r="M134" s="2"/>
      <c r="N134" s="2"/>
    </row>
    <row r="135" spans="5:14" ht="18.75">
      <c r="E135" s="29"/>
      <c r="F135" s="4"/>
      <c r="G135" s="4"/>
      <c r="H135" s="5"/>
      <c r="I135" s="5"/>
      <c r="J135" s="5"/>
      <c r="K135" s="5"/>
      <c r="L135" s="5"/>
      <c r="M135" s="2"/>
      <c r="N135" s="2"/>
    </row>
    <row r="136" spans="5:14" ht="18.75">
      <c r="E136" s="29"/>
      <c r="F136" s="4"/>
      <c r="G136" s="4"/>
      <c r="H136" s="5"/>
      <c r="I136" s="5"/>
      <c r="J136" s="5"/>
      <c r="K136" s="5"/>
      <c r="L136" s="5"/>
      <c r="M136" s="2"/>
      <c r="N136" s="2"/>
    </row>
    <row r="137" spans="5:14" ht="18.75">
      <c r="E137" s="29"/>
      <c r="F137" s="4"/>
      <c r="G137" s="4"/>
      <c r="H137" s="5"/>
      <c r="I137" s="5"/>
      <c r="J137" s="5"/>
      <c r="K137" s="5"/>
      <c r="L137" s="5"/>
      <c r="M137" s="2"/>
      <c r="N137" s="2"/>
    </row>
    <row r="138" spans="5:14" ht="18.75">
      <c r="E138" s="29"/>
      <c r="F138" s="4"/>
      <c r="G138" s="4"/>
      <c r="H138" s="5"/>
      <c r="I138" s="5"/>
      <c r="J138" s="5"/>
      <c r="K138" s="5"/>
      <c r="L138" s="5"/>
      <c r="M138" s="2"/>
      <c r="N138" s="2"/>
    </row>
    <row r="139" spans="5:14" ht="18.75">
      <c r="E139" s="29"/>
      <c r="F139" s="4"/>
      <c r="G139" s="4"/>
      <c r="H139" s="5"/>
      <c r="I139" s="5"/>
      <c r="J139" s="5"/>
      <c r="K139" s="5"/>
      <c r="L139" s="5"/>
      <c r="M139" s="2"/>
      <c r="N139" s="2"/>
    </row>
    <row r="140" spans="5:14" ht="18.75">
      <c r="E140" s="29"/>
      <c r="F140" s="4"/>
      <c r="G140" s="4"/>
      <c r="H140" s="5"/>
      <c r="I140" s="5"/>
      <c r="J140" s="5"/>
      <c r="K140" s="5"/>
      <c r="L140" s="5"/>
      <c r="M140" s="2"/>
      <c r="N140" s="2"/>
    </row>
    <row r="141" spans="5:14" ht="18.75">
      <c r="E141" s="29"/>
      <c r="F141" s="4"/>
      <c r="G141" s="4"/>
      <c r="H141" s="5"/>
      <c r="I141" s="5"/>
      <c r="J141" s="5"/>
      <c r="K141" s="5"/>
      <c r="L141" s="5"/>
      <c r="M141" s="2"/>
      <c r="N141" s="2"/>
    </row>
    <row r="142" spans="5:12" ht="18.75">
      <c r="E142" s="29"/>
      <c r="F142" s="4"/>
      <c r="G142" s="4"/>
      <c r="H142" s="4"/>
      <c r="I142" s="4"/>
      <c r="J142" s="4"/>
      <c r="K142" s="4"/>
      <c r="L142" s="4"/>
    </row>
    <row r="143" spans="5:12" ht="18.75">
      <c r="E143" s="29"/>
      <c r="F143" s="4"/>
      <c r="G143" s="4"/>
      <c r="H143" s="4"/>
      <c r="I143" s="4"/>
      <c r="J143" s="4"/>
      <c r="K143" s="4"/>
      <c r="L143" s="4"/>
    </row>
    <row r="144" spans="5:12" ht="18.75">
      <c r="E144" s="29"/>
      <c r="F144" s="4"/>
      <c r="G144" s="4"/>
      <c r="H144" s="4"/>
      <c r="I144" s="4"/>
      <c r="J144" s="4"/>
      <c r="K144" s="4"/>
      <c r="L144" s="4"/>
    </row>
    <row r="145" spans="5:12" ht="18.75">
      <c r="E145" s="29"/>
      <c r="F145" s="4"/>
      <c r="G145" s="4"/>
      <c r="H145" s="4"/>
      <c r="I145" s="4"/>
      <c r="J145" s="4"/>
      <c r="K145" s="4"/>
      <c r="L145" s="4"/>
    </row>
    <row r="146" spans="5:12" ht="18.75">
      <c r="E146" s="29"/>
      <c r="F146" s="4"/>
      <c r="G146" s="4"/>
      <c r="H146" s="4"/>
      <c r="I146" s="4"/>
      <c r="J146" s="4"/>
      <c r="K146" s="4"/>
      <c r="L146" s="4"/>
    </row>
    <row r="147" spans="5:12" ht="18.75">
      <c r="E147" s="29"/>
      <c r="F147" s="4"/>
      <c r="G147" s="4"/>
      <c r="H147" s="4"/>
      <c r="I147" s="4"/>
      <c r="J147" s="4"/>
      <c r="K147" s="4"/>
      <c r="L147" s="4"/>
    </row>
    <row r="148" spans="5:12" ht="18.75">
      <c r="E148" s="29"/>
      <c r="F148" s="4"/>
      <c r="G148" s="4"/>
      <c r="H148" s="4"/>
      <c r="I148" s="4"/>
      <c r="J148" s="4"/>
      <c r="K148" s="4"/>
      <c r="L148" s="4"/>
    </row>
    <row r="149" spans="5:12" ht="18.75">
      <c r="E149" s="29"/>
      <c r="F149" s="4"/>
      <c r="G149" s="4"/>
      <c r="H149" s="4"/>
      <c r="I149" s="4"/>
      <c r="J149" s="4"/>
      <c r="K149" s="4"/>
      <c r="L149" s="4"/>
    </row>
    <row r="150" spans="5:12" ht="18.75">
      <c r="E150" s="29"/>
      <c r="F150" s="4"/>
      <c r="G150" s="4"/>
      <c r="H150" s="4"/>
      <c r="I150" s="4"/>
      <c r="J150" s="4"/>
      <c r="K150" s="4"/>
      <c r="L150" s="4"/>
    </row>
    <row r="151" spans="5:12" ht="18.75">
      <c r="E151" s="29"/>
      <c r="F151" s="4"/>
      <c r="G151" s="4"/>
      <c r="H151" s="4"/>
      <c r="I151" s="4"/>
      <c r="J151" s="4"/>
      <c r="K151" s="4"/>
      <c r="L151" s="4"/>
    </row>
    <row r="152" spans="5:12" ht="18.75">
      <c r="E152" s="29"/>
      <c r="F152" s="4"/>
      <c r="G152" s="4"/>
      <c r="H152" s="4"/>
      <c r="I152" s="4"/>
      <c r="J152" s="4"/>
      <c r="K152" s="4"/>
      <c r="L152" s="4"/>
    </row>
    <row r="153" spans="5:12" ht="18.75">
      <c r="E153" s="29"/>
      <c r="F153" s="4"/>
      <c r="G153" s="4"/>
      <c r="H153" s="4"/>
      <c r="I153" s="4"/>
      <c r="J153" s="4"/>
      <c r="K153" s="4"/>
      <c r="L153" s="4"/>
    </row>
    <row r="154" spans="5:12" ht="18.75">
      <c r="E154" s="29"/>
      <c r="F154" s="4"/>
      <c r="G154" s="4"/>
      <c r="H154" s="4"/>
      <c r="I154" s="4"/>
      <c r="J154" s="4"/>
      <c r="K154" s="4"/>
      <c r="L154" s="4"/>
    </row>
    <row r="155" spans="5:12" ht="18.75">
      <c r="E155" s="29"/>
      <c r="F155" s="4"/>
      <c r="G155" s="4"/>
      <c r="H155" s="4"/>
      <c r="I155" s="4"/>
      <c r="J155" s="4"/>
      <c r="K155" s="4"/>
      <c r="L155" s="4"/>
    </row>
    <row r="156" spans="5:12" ht="18.75">
      <c r="E156" s="29"/>
      <c r="F156" s="4"/>
      <c r="G156" s="4"/>
      <c r="H156" s="4"/>
      <c r="I156" s="4"/>
      <c r="J156" s="4"/>
      <c r="K156" s="4"/>
      <c r="L156" s="4"/>
    </row>
    <row r="157" spans="5:12" ht="18.75">
      <c r="E157" s="29"/>
      <c r="F157" s="4"/>
      <c r="G157" s="4"/>
      <c r="H157" s="4"/>
      <c r="I157" s="4"/>
      <c r="J157" s="4"/>
      <c r="K157" s="4"/>
      <c r="L157" s="4"/>
    </row>
    <row r="158" spans="5:12" ht="18.75">
      <c r="E158" s="29"/>
      <c r="F158" s="4"/>
      <c r="G158" s="4"/>
      <c r="H158" s="4"/>
      <c r="I158" s="4"/>
      <c r="J158" s="4"/>
      <c r="K158" s="4"/>
      <c r="L158" s="4"/>
    </row>
    <row r="159" spans="5:12" ht="18.75">
      <c r="E159" s="29"/>
      <c r="F159" s="4"/>
      <c r="G159" s="4"/>
      <c r="H159" s="4"/>
      <c r="I159" s="4"/>
      <c r="J159" s="4"/>
      <c r="K159" s="4"/>
      <c r="L159" s="4"/>
    </row>
    <row r="160" spans="5:12" ht="18.75">
      <c r="E160" s="29"/>
      <c r="F160" s="4"/>
      <c r="G160" s="4"/>
      <c r="H160" s="4"/>
      <c r="I160" s="4"/>
      <c r="J160" s="4"/>
      <c r="K160" s="4"/>
      <c r="L160" s="4"/>
    </row>
    <row r="161" spans="5:12" ht="18.75">
      <c r="E161" s="29"/>
      <c r="F161" s="4"/>
      <c r="G161" s="4"/>
      <c r="H161" s="4"/>
      <c r="I161" s="4"/>
      <c r="J161" s="4"/>
      <c r="K161" s="4"/>
      <c r="L161" s="4"/>
    </row>
    <row r="162" spans="5:12" ht="18.75">
      <c r="E162" s="29"/>
      <c r="F162" s="4"/>
      <c r="G162" s="4"/>
      <c r="H162" s="4"/>
      <c r="I162" s="4"/>
      <c r="J162" s="4"/>
      <c r="K162" s="4"/>
      <c r="L162" s="4"/>
    </row>
    <row r="163" spans="5:12" ht="18.75">
      <c r="E163" s="29"/>
      <c r="F163" s="4"/>
      <c r="G163" s="4"/>
      <c r="H163" s="4"/>
      <c r="I163" s="4"/>
      <c r="J163" s="4"/>
      <c r="K163" s="4"/>
      <c r="L163" s="4"/>
    </row>
    <row r="164" spans="5:12" ht="18.75">
      <c r="E164" s="29"/>
      <c r="F164" s="4"/>
      <c r="G164" s="4"/>
      <c r="H164" s="4"/>
      <c r="I164" s="4"/>
      <c r="J164" s="4"/>
      <c r="K164" s="4"/>
      <c r="L164" s="4"/>
    </row>
    <row r="165" spans="5:12" ht="18.75">
      <c r="E165" s="29"/>
      <c r="F165" s="4"/>
      <c r="G165" s="4"/>
      <c r="H165" s="4"/>
      <c r="I165" s="4"/>
      <c r="J165" s="4"/>
      <c r="K165" s="4"/>
      <c r="L165" s="4"/>
    </row>
    <row r="166" spans="5:12" ht="18.75">
      <c r="E166" s="29"/>
      <c r="F166" s="4"/>
      <c r="G166" s="4"/>
      <c r="H166" s="4"/>
      <c r="I166" s="4"/>
      <c r="J166" s="4"/>
      <c r="K166" s="4"/>
      <c r="L166" s="4"/>
    </row>
    <row r="167" spans="5:12" ht="18.75">
      <c r="E167" s="29"/>
      <c r="F167" s="4"/>
      <c r="G167" s="4"/>
      <c r="H167" s="4"/>
      <c r="I167" s="4"/>
      <c r="J167" s="4"/>
      <c r="K167" s="4"/>
      <c r="L167" s="4"/>
    </row>
    <row r="168" spans="5:12" ht="18.75">
      <c r="E168" s="29"/>
      <c r="F168" s="4"/>
      <c r="G168" s="4"/>
      <c r="H168" s="4"/>
      <c r="I168" s="4"/>
      <c r="J168" s="4"/>
      <c r="K168" s="4"/>
      <c r="L168" s="4"/>
    </row>
    <row r="169" spans="5:12" ht="18.75">
      <c r="E169" s="29"/>
      <c r="F169" s="4"/>
      <c r="G169" s="4"/>
      <c r="H169" s="4"/>
      <c r="I169" s="4"/>
      <c r="J169" s="4"/>
      <c r="K169" s="4"/>
      <c r="L169" s="4"/>
    </row>
    <row r="170" spans="5:12" ht="18.75">
      <c r="E170" s="29"/>
      <c r="F170" s="4"/>
      <c r="G170" s="4"/>
      <c r="H170" s="4"/>
      <c r="I170" s="4"/>
      <c r="J170" s="4"/>
      <c r="K170" s="4"/>
      <c r="L170" s="4"/>
    </row>
    <row r="171" spans="5:12" ht="18.75">
      <c r="E171" s="29"/>
      <c r="F171" s="4"/>
      <c r="G171" s="4"/>
      <c r="H171" s="4"/>
      <c r="I171" s="4"/>
      <c r="J171" s="4"/>
      <c r="K171" s="4"/>
      <c r="L171" s="4"/>
    </row>
    <row r="172" spans="5:12" ht="18.75">
      <c r="E172" s="29"/>
      <c r="F172" s="4"/>
      <c r="G172" s="4"/>
      <c r="H172" s="4"/>
      <c r="I172" s="4"/>
      <c r="J172" s="4"/>
      <c r="K172" s="4"/>
      <c r="L172" s="4"/>
    </row>
    <row r="173" spans="5:12" ht="18.75">
      <c r="E173" s="29"/>
      <c r="F173" s="4"/>
      <c r="G173" s="4"/>
      <c r="H173" s="4"/>
      <c r="I173" s="4"/>
      <c r="J173" s="4"/>
      <c r="K173" s="4"/>
      <c r="L173" s="4"/>
    </row>
    <row r="174" spans="5:12" ht="18.75">
      <c r="E174" s="29"/>
      <c r="F174" s="4"/>
      <c r="G174" s="4"/>
      <c r="H174" s="4"/>
      <c r="I174" s="4"/>
      <c r="J174" s="4"/>
      <c r="K174" s="4"/>
      <c r="L174" s="4"/>
    </row>
    <row r="175" spans="5:12" ht="18.75">
      <c r="E175" s="29"/>
      <c r="F175" s="4"/>
      <c r="G175" s="4"/>
      <c r="H175" s="4"/>
      <c r="I175" s="4"/>
      <c r="J175" s="4"/>
      <c r="K175" s="4"/>
      <c r="L175" s="4"/>
    </row>
    <row r="176" spans="5:12" ht="18.75">
      <c r="E176" s="29"/>
      <c r="F176" s="4"/>
      <c r="G176" s="4"/>
      <c r="H176" s="4"/>
      <c r="I176" s="4"/>
      <c r="J176" s="4"/>
      <c r="K176" s="4"/>
      <c r="L176" s="4"/>
    </row>
    <row r="177" spans="5:12" ht="18.75">
      <c r="E177" s="29"/>
      <c r="F177" s="4"/>
      <c r="G177" s="4"/>
      <c r="H177" s="4"/>
      <c r="I177" s="4"/>
      <c r="J177" s="4"/>
      <c r="K177" s="4"/>
      <c r="L177" s="4"/>
    </row>
    <row r="178" spans="5:12" ht="18.75">
      <c r="E178" s="29"/>
      <c r="F178" s="4"/>
      <c r="G178" s="4"/>
      <c r="H178" s="4"/>
      <c r="I178" s="4"/>
      <c r="J178" s="4"/>
      <c r="K178" s="4"/>
      <c r="L178" s="4"/>
    </row>
    <row r="179" spans="5:12" ht="18.75">
      <c r="E179" s="29"/>
      <c r="F179" s="4"/>
      <c r="G179" s="4"/>
      <c r="H179" s="4"/>
      <c r="I179" s="4"/>
      <c r="J179" s="4"/>
      <c r="K179" s="4"/>
      <c r="L179" s="4"/>
    </row>
    <row r="180" spans="5:12" ht="18.75">
      <c r="E180" s="29"/>
      <c r="F180" s="4"/>
      <c r="G180" s="4"/>
      <c r="H180" s="4"/>
      <c r="I180" s="4"/>
      <c r="J180" s="4"/>
      <c r="K180" s="4"/>
      <c r="L180" s="4"/>
    </row>
    <row r="181" spans="5:12" ht="18.75">
      <c r="E181" s="29"/>
      <c r="F181" s="4"/>
      <c r="G181" s="4"/>
      <c r="H181" s="4"/>
      <c r="I181" s="4"/>
      <c r="J181" s="4"/>
      <c r="K181" s="4"/>
      <c r="L181" s="4"/>
    </row>
  </sheetData>
  <sheetProtection/>
  <mergeCells count="78">
    <mergeCell ref="M2:N2"/>
    <mergeCell ref="F48:F49"/>
    <mergeCell ref="E48:E49"/>
    <mergeCell ref="H5:N5"/>
    <mergeCell ref="E3:N3"/>
    <mergeCell ref="F7:F10"/>
    <mergeCell ref="F11:F14"/>
    <mergeCell ref="E40:E43"/>
    <mergeCell ref="E19:E22"/>
    <mergeCell ref="E36:E39"/>
    <mergeCell ref="E68:E71"/>
    <mergeCell ref="F68:F71"/>
    <mergeCell ref="E63:E64"/>
    <mergeCell ref="E59:E62"/>
    <mergeCell ref="E7:E10"/>
    <mergeCell ref="F100:F101"/>
    <mergeCell ref="E100:E101"/>
    <mergeCell ref="E91:E93"/>
    <mergeCell ref="F91:F93"/>
    <mergeCell ref="F97:F99"/>
    <mergeCell ref="E97:E99"/>
    <mergeCell ref="E94:E96"/>
    <mergeCell ref="F94:F96"/>
    <mergeCell ref="E27:E30"/>
    <mergeCell ref="E31:E35"/>
    <mergeCell ref="E11:E14"/>
    <mergeCell ref="E23:E26"/>
    <mergeCell ref="E15:E18"/>
    <mergeCell ref="F15:F18"/>
    <mergeCell ref="F36:F39"/>
    <mergeCell ref="F23:F26"/>
    <mergeCell ref="F27:F30"/>
    <mergeCell ref="F19:F22"/>
    <mergeCell ref="F31:F35"/>
    <mergeCell ref="F40:F43"/>
    <mergeCell ref="E88:E90"/>
    <mergeCell ref="E44:E47"/>
    <mergeCell ref="F44:F47"/>
    <mergeCell ref="E50:E53"/>
    <mergeCell ref="F50:F53"/>
    <mergeCell ref="F84:F87"/>
    <mergeCell ref="F65:F67"/>
    <mergeCell ref="E65:E67"/>
    <mergeCell ref="F88:F90"/>
    <mergeCell ref="F5:G6"/>
    <mergeCell ref="E5:E6"/>
    <mergeCell ref="E122:G122"/>
    <mergeCell ref="E110:E111"/>
    <mergeCell ref="F110:F111"/>
    <mergeCell ref="F54:F58"/>
    <mergeCell ref="F63:F64"/>
    <mergeCell ref="F59:F62"/>
    <mergeCell ref="E54:E58"/>
    <mergeCell ref="F108:F109"/>
    <mergeCell ref="E118:G118"/>
    <mergeCell ref="E119:G119"/>
    <mergeCell ref="F106:F107"/>
    <mergeCell ref="E106:E107"/>
    <mergeCell ref="F114:F115"/>
    <mergeCell ref="E114:E115"/>
    <mergeCell ref="E116:E117"/>
    <mergeCell ref="F116:F117"/>
    <mergeCell ref="E120:G120"/>
    <mergeCell ref="E121:G121"/>
    <mergeCell ref="E84:E87"/>
    <mergeCell ref="E102:E103"/>
    <mergeCell ref="F102:F103"/>
    <mergeCell ref="E112:E113"/>
    <mergeCell ref="F112:F113"/>
    <mergeCell ref="E108:E109"/>
    <mergeCell ref="F104:F105"/>
    <mergeCell ref="E104:E105"/>
    <mergeCell ref="E80:E83"/>
    <mergeCell ref="F80:F83"/>
    <mergeCell ref="E72:E75"/>
    <mergeCell ref="F72:F75"/>
    <mergeCell ref="E76:E79"/>
    <mergeCell ref="F76:F79"/>
  </mergeCells>
  <printOptions horizontalCentered="1"/>
  <pageMargins left="0.984251968503937" right="0.1968503937007874" top="0.3937007874015748" bottom="0.2362204724409449" header="0.3937007874015748" footer="0.15748031496062992"/>
  <pageSetup horizontalDpi="600" verticalDpi="600" orientation="landscape" paperSize="9" scale="82" r:id="rId1"/>
  <rowBreaks count="8" manualBreakCount="8">
    <brk id="18" max="17" man="1"/>
    <brk id="30" max="17" man="1"/>
    <brk id="43" max="255" man="1"/>
    <brk id="58" max="17" man="1"/>
    <brk id="83" max="17" man="1"/>
    <brk id="96" max="17" man="1"/>
    <brk id="105" max="17" man="1"/>
    <brk id="113" max="17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Артемова</dc:creator>
  <cp:keywords/>
  <dc:description/>
  <cp:lastModifiedBy>User</cp:lastModifiedBy>
  <cp:lastPrinted>2009-08-06T12:13:38Z</cp:lastPrinted>
  <dcterms:created xsi:type="dcterms:W3CDTF">2008-08-27T10:58:44Z</dcterms:created>
  <dcterms:modified xsi:type="dcterms:W3CDTF">2009-08-13T08:48:57Z</dcterms:modified>
  <cp:category/>
  <cp:version/>
  <cp:contentType/>
  <cp:contentStatus/>
</cp:coreProperties>
</file>